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ůj disk\AK_#KlimaNaDoma\Klimasken\Klimasken-vyvoj\"/>
    </mc:Choice>
  </mc:AlternateContent>
  <bookViews>
    <workbookView xWindow="0" yWindow="0" windowWidth="28800" windowHeight="12330" tabRatio="800"/>
  </bookViews>
  <sheets>
    <sheet name="Souhrn" sheetId="29" r:id="rId1"/>
    <sheet name="Lang" sheetId="89" state="hidden" r:id="rId2"/>
    <sheet name="Identifikace města-MČ" sheetId="30" r:id="rId3"/>
    <sheet name="M-POP1" sheetId="23" r:id="rId4"/>
    <sheet name="M-POP2" sheetId="24" r:id="rId5"/>
    <sheet name="M-POP3" sheetId="25" r:id="rId6"/>
    <sheet name="M-POP4" sheetId="26" r:id="rId7"/>
    <sheet name="M-POP5" sheetId="27" r:id="rId8"/>
    <sheet name="M-POP6" sheetId="28" r:id="rId9"/>
    <sheet name="M-POP7" sheetId="15" r:id="rId10"/>
    <sheet name="M-POP8" sheetId="44" r:id="rId11"/>
    <sheet name="M-POP9" sheetId="45" r:id="rId12"/>
    <sheet name="M-POP10" sheetId="46" r:id="rId13"/>
    <sheet name="M-POP11" sheetId="47" r:id="rId14"/>
    <sheet name="M-POP12" sheetId="48" r:id="rId15"/>
    <sheet name="M-POP13" sheetId="49" r:id="rId16"/>
    <sheet name="M-POP14" sheetId="50" r:id="rId17"/>
    <sheet name="M-EXP1" sheetId="51" r:id="rId18"/>
    <sheet name="M-EXP2" sheetId="16" r:id="rId19"/>
    <sheet name="M-EXP3" sheetId="18" r:id="rId20"/>
    <sheet name="M-EXP4" sheetId="32" r:id="rId21"/>
    <sheet name="M-EXP5" sheetId="52" r:id="rId22"/>
    <sheet name="M-EXP6" sheetId="53" r:id="rId23"/>
    <sheet name="M-EXP7" sheetId="54" r:id="rId24"/>
    <sheet name="M-EXP8" sheetId="55" r:id="rId25"/>
    <sheet name="M-EXP9" sheetId="56" r:id="rId26"/>
    <sheet name="M-EXP10" sheetId="57" r:id="rId27"/>
    <sheet name="M-AD1" sheetId="17" r:id="rId28"/>
    <sheet name="M-AD2" sheetId="31" r:id="rId29"/>
    <sheet name="M-AD3" sheetId="1" r:id="rId30"/>
    <sheet name="M-AD4" sheetId="2" r:id="rId31"/>
    <sheet name="M-AD5" sheetId="33" r:id="rId32"/>
    <sheet name="M-AD6" sheetId="58" r:id="rId33"/>
    <sheet name="M-AD7" sheetId="3" r:id="rId34"/>
    <sheet name="M-AD8" sheetId="5" r:id="rId35"/>
    <sheet name="M-AD9" sheetId="6" r:id="rId36"/>
    <sheet name="M-AD10" sheetId="34" r:id="rId37"/>
    <sheet name="M-AD11" sheetId="59" r:id="rId38"/>
    <sheet name="M-AD12" sheetId="60" r:id="rId39"/>
    <sheet name="M-AD13" sheetId="61" r:id="rId40"/>
    <sheet name="M-AD14" sheetId="62" r:id="rId41"/>
    <sheet name="M-AD15" sheetId="63" r:id="rId42"/>
    <sheet name="M-AD16" sheetId="64" r:id="rId43"/>
    <sheet name="MIT" sheetId="92" r:id="rId44"/>
    <sheet name="M-GOV1" sheetId="7" r:id="rId45"/>
    <sheet name="M-GOV2" sheetId="8" r:id="rId46"/>
    <sheet name="M-GOV3" sheetId="9" r:id="rId47"/>
    <sheet name="M-GOV4" sheetId="21" r:id="rId48"/>
    <sheet name="M-GOV5" sheetId="35" r:id="rId49"/>
    <sheet name="M-GOV6" sheetId="36" r:id="rId50"/>
    <sheet name="M-GOV7" sheetId="37" r:id="rId51"/>
    <sheet name="M-GOV8" sheetId="38" r:id="rId52"/>
    <sheet name="M-GOV9" sheetId="39" r:id="rId53"/>
    <sheet name="M-GOV10" sheetId="41" r:id="rId54"/>
    <sheet name="M-GOV11" sheetId="42" r:id="rId55"/>
    <sheet name="M-GOV12" sheetId="83" r:id="rId56"/>
    <sheet name="M-GOV13" sheetId="88" r:id="rId57"/>
    <sheet name="M-GOV14" sheetId="84" r:id="rId58"/>
    <sheet name="M-GOV15" sheetId="86" r:id="rId59"/>
    <sheet name="M-GOV16" sheetId="85" r:id="rId60"/>
  </sheets>
  <definedNames>
    <definedName name="_xlnm._FilterDatabase" localSheetId="1" hidden="1">Lang!$A$1:$M$1006</definedName>
    <definedName name="_ftn1" localSheetId="45">'M-GOV2'!$A$21</definedName>
    <definedName name="_ftn2" localSheetId="45">'M-GOV2'!$A$22</definedName>
    <definedName name="_ftnref1" localSheetId="45">'M-GOV2'!$C$13</definedName>
    <definedName name="_ftnref2" localSheetId="45">'M-GOV2'!$C$14</definedName>
    <definedName name="ANO">'M-GOV3'!$G$4:$G$5</definedName>
    <definedName name="ANONE1">Lang!$B$163:$B$164</definedName>
    <definedName name="ANONE2">Lang!$C$163:$C$164</definedName>
    <definedName name="ANONE3">Lang!$D$163:$D$164</definedName>
    <definedName name="NE">'M-GOV3'!$H$4</definedName>
    <definedName name="Priprav_1">Lang!$B$320:$B$324</definedName>
    <definedName name="Priprav_2">Lang!$C$320:$C$324</definedName>
    <definedName name="Priprav_3">Lang!$D$320:$D$324</definedName>
    <definedName name="Zeme_1">Lang!$B$337:$B$355</definedName>
    <definedName name="Zeme_2">Lang!$C$337:$C$355</definedName>
    <definedName name="Zeme_3">Lang!$D$337:$D$355</definedName>
  </definedNames>
  <calcPr calcId="162913"/>
</workbook>
</file>

<file path=xl/calcChain.xml><?xml version="1.0" encoding="utf-8"?>
<calcChain xmlns="http://schemas.openxmlformats.org/spreadsheetml/2006/main">
  <c r="B8" i="83" l="1"/>
  <c r="B9" i="83" s="1"/>
  <c r="B11" i="42" l="1"/>
  <c r="B11" i="85"/>
  <c r="B11" i="86"/>
  <c r="B11" i="39"/>
  <c r="B9" i="41"/>
  <c r="B11" i="36"/>
  <c r="C8" i="21" l="1"/>
  <c r="B9" i="21"/>
  <c r="B10" i="21" s="1"/>
  <c r="B9" i="8"/>
  <c r="B10" i="8" s="1"/>
  <c r="C8" i="8"/>
  <c r="I74" i="89"/>
  <c r="B74" i="89" s="1"/>
  <c r="I73" i="89"/>
  <c r="B73" i="89" s="1"/>
  <c r="I72" i="89"/>
  <c r="B72" i="89" s="1"/>
  <c r="I71" i="89"/>
  <c r="B71" i="89" s="1"/>
  <c r="I70" i="89"/>
  <c r="B70" i="89" s="1"/>
  <c r="I69" i="89"/>
  <c r="B69" i="89" s="1"/>
  <c r="I68" i="89"/>
  <c r="B68" i="89" s="1"/>
  <c r="I67" i="89"/>
  <c r="B67" i="89" s="1"/>
  <c r="I66" i="89"/>
  <c r="B66" i="89" s="1"/>
  <c r="I65" i="89"/>
  <c r="I64" i="89"/>
  <c r="B64" i="89" s="1"/>
  <c r="I63" i="89"/>
  <c r="B63" i="89" s="1"/>
  <c r="I62" i="89"/>
  <c r="B62" i="89" s="1"/>
  <c r="I61" i="89"/>
  <c r="B61" i="89" s="1"/>
  <c r="I60" i="89"/>
  <c r="B60" i="89" s="1"/>
  <c r="I59" i="89"/>
  <c r="B59" i="89" s="1"/>
  <c r="I58" i="89"/>
  <c r="B58" i="89" s="1"/>
  <c r="I57" i="89"/>
  <c r="B57" i="89" s="1"/>
  <c r="I56" i="89"/>
  <c r="B56" i="89" s="1"/>
  <c r="I52" i="89"/>
  <c r="I51" i="89"/>
  <c r="I50" i="89"/>
  <c r="I49" i="89"/>
  <c r="I48" i="89"/>
  <c r="I47" i="89"/>
  <c r="I46" i="89"/>
  <c r="I45" i="89"/>
  <c r="I44" i="89"/>
  <c r="I43" i="89"/>
  <c r="I42" i="89"/>
  <c r="I41" i="89"/>
  <c r="I40" i="89"/>
  <c r="I39" i="89"/>
  <c r="I38" i="89"/>
  <c r="M1" i="89"/>
  <c r="A9" i="83" l="1"/>
  <c r="A8" i="48"/>
  <c r="A7" i="48"/>
  <c r="D11" i="7"/>
  <c r="D7" i="7"/>
  <c r="D10" i="7"/>
  <c r="D9" i="7"/>
  <c r="D8" i="7"/>
  <c r="A4" i="7"/>
  <c r="A8" i="7"/>
  <c r="C54" i="29"/>
  <c r="C46" i="29"/>
  <c r="F10" i="92"/>
  <c r="E12" i="92"/>
  <c r="A7" i="7"/>
  <c r="C53" i="29"/>
  <c r="C60" i="29"/>
  <c r="F7" i="92"/>
  <c r="E11" i="92"/>
  <c r="E9" i="92"/>
  <c r="F12" i="92"/>
  <c r="A9" i="7"/>
  <c r="F11" i="92"/>
  <c r="E4" i="92"/>
  <c r="C52" i="29"/>
  <c r="G3" i="92"/>
  <c r="E6" i="92"/>
  <c r="E10" i="92"/>
  <c r="C59" i="29"/>
  <c r="C51" i="29"/>
  <c r="F3" i="92"/>
  <c r="E17" i="92"/>
  <c r="C48" i="29"/>
  <c r="E5" i="92"/>
  <c r="C47" i="29"/>
  <c r="C58" i="29"/>
  <c r="C50" i="29"/>
  <c r="E3" i="92"/>
  <c r="E16" i="92"/>
  <c r="E8" i="92"/>
  <c r="A11" i="7"/>
  <c r="C57" i="29"/>
  <c r="C49" i="29"/>
  <c r="A2" i="92"/>
  <c r="E15" i="92"/>
  <c r="E7" i="92"/>
  <c r="A10" i="7"/>
  <c r="C56" i="29"/>
  <c r="E14" i="92"/>
  <c r="C55" i="29"/>
  <c r="E13" i="92"/>
  <c r="A4" i="56"/>
  <c r="A9" i="85"/>
  <c r="A8" i="39"/>
  <c r="A10" i="27"/>
  <c r="A9" i="36"/>
  <c r="A8" i="42"/>
  <c r="A8" i="86"/>
  <c r="A8" i="36"/>
  <c r="A9" i="39"/>
  <c r="A9" i="41"/>
  <c r="A4" i="36"/>
  <c r="A9" i="42"/>
  <c r="A9" i="86"/>
  <c r="A8" i="85"/>
  <c r="A11" i="42"/>
  <c r="A10" i="84"/>
  <c r="A11" i="36"/>
  <c r="A11" i="85"/>
  <c r="A11" i="86"/>
  <c r="A11" i="39"/>
  <c r="A10" i="21"/>
  <c r="A10" i="8"/>
  <c r="A4" i="62"/>
  <c r="A4" i="63"/>
  <c r="A9" i="62"/>
  <c r="A2" i="62"/>
  <c r="A7" i="61"/>
  <c r="A10" i="60"/>
  <c r="A4" i="60"/>
  <c r="A6" i="6"/>
  <c r="A6" i="3"/>
  <c r="A6" i="5"/>
  <c r="A4" i="5"/>
  <c r="A10" i="63"/>
  <c r="A2" i="63"/>
  <c r="A8" i="62"/>
  <c r="A6" i="62"/>
  <c r="A4" i="61"/>
  <c r="A6" i="60"/>
  <c r="A2" i="60"/>
  <c r="A10" i="6"/>
  <c r="A10" i="3"/>
  <c r="A10" i="5"/>
  <c r="A4" i="3"/>
  <c r="A8" i="63"/>
  <c r="A6" i="63"/>
  <c r="A7" i="62"/>
  <c r="A10" i="61"/>
  <c r="A2" i="61"/>
  <c r="A8" i="60"/>
  <c r="A8" i="6"/>
  <c r="A8" i="3"/>
  <c r="A8" i="5"/>
  <c r="A9" i="5"/>
  <c r="A2" i="3"/>
  <c r="A7" i="63"/>
  <c r="A10" i="62"/>
  <c r="A8" i="61"/>
  <c r="A6" i="61"/>
  <c r="A7" i="60"/>
  <c r="A7" i="6"/>
  <c r="A7" i="3"/>
  <c r="A7" i="5"/>
  <c r="A4" i="6"/>
  <c r="A6" i="33"/>
  <c r="A8" i="31"/>
  <c r="A10" i="1"/>
  <c r="A4" i="17"/>
  <c r="A9" i="63"/>
  <c r="A9" i="3"/>
  <c r="A8" i="2"/>
  <c r="A8" i="1"/>
  <c r="A4" i="31"/>
  <c r="A9" i="2"/>
  <c r="A9" i="33"/>
  <c r="A4" i="1"/>
  <c r="A8" i="17"/>
  <c r="A2" i="17"/>
  <c r="A6" i="2"/>
  <c r="A10" i="33"/>
  <c r="A6" i="17"/>
  <c r="A9" i="6"/>
  <c r="A4" i="2"/>
  <c r="A9" i="61"/>
  <c r="A8" i="33"/>
  <c r="A7" i="2"/>
  <c r="A7" i="1"/>
  <c r="A7" i="31"/>
  <c r="A9" i="31"/>
  <c r="A9" i="1"/>
  <c r="A2" i="31"/>
  <c r="A7" i="17"/>
  <c r="A9" i="60"/>
  <c r="A7" i="33"/>
  <c r="A6" i="1"/>
  <c r="A6" i="31"/>
  <c r="A4" i="33"/>
  <c r="A10" i="17"/>
  <c r="A10" i="2"/>
  <c r="A10" i="31"/>
  <c r="A9" i="17"/>
  <c r="A4" i="64"/>
  <c r="A4" i="34"/>
  <c r="A8" i="49"/>
  <c r="A6" i="47"/>
  <c r="A10" i="47"/>
  <c r="A10" i="46"/>
  <c r="A17" i="47"/>
  <c r="A7" i="46"/>
  <c r="A9" i="46"/>
  <c r="A18" i="46"/>
  <c r="A8" i="88"/>
  <c r="A9" i="88"/>
  <c r="A7" i="83"/>
  <c r="A12" i="38"/>
  <c r="A2" i="58"/>
  <c r="A10" i="48"/>
  <c r="A14" i="47"/>
  <c r="A10" i="88"/>
  <c r="A2" i="64"/>
  <c r="A2" i="34"/>
  <c r="A7" i="49"/>
  <c r="A4" i="48"/>
  <c r="A8" i="47"/>
  <c r="A4" i="47"/>
  <c r="A12" i="47"/>
  <c r="A16" i="47"/>
  <c r="A4" i="46"/>
  <c r="A15" i="46"/>
  <c r="A14" i="46"/>
  <c r="A4" i="88"/>
  <c r="A4" i="83"/>
  <c r="A12" i="37"/>
  <c r="A2" i="59"/>
  <c r="A7" i="47"/>
  <c r="A18" i="47"/>
  <c r="A17" i="46"/>
  <c r="A12" i="21"/>
  <c r="A4" i="59"/>
  <c r="A4" i="58"/>
  <c r="A4" i="49"/>
  <c r="A2" i="48"/>
  <c r="A10" i="49"/>
  <c r="A2" i="47"/>
  <c r="A12" i="46"/>
  <c r="A15" i="47"/>
  <c r="A8" i="46"/>
  <c r="A16" i="46"/>
  <c r="B14" i="46"/>
  <c r="A2" i="88"/>
  <c r="A8" i="83"/>
  <c r="A10" i="41"/>
  <c r="A12" i="8"/>
  <c r="A2" i="49"/>
  <c r="A9" i="47"/>
  <c r="A6" i="46"/>
  <c r="A2" i="46"/>
  <c r="A10" i="38"/>
  <c r="A4" i="38"/>
  <c r="A8" i="38"/>
  <c r="A4" i="21"/>
  <c r="A8" i="41"/>
  <c r="A2" i="38"/>
  <c r="A7" i="37"/>
  <c r="A6" i="21"/>
  <c r="A4" i="37"/>
  <c r="A9" i="21"/>
  <c r="A4" i="8"/>
  <c r="A7" i="41"/>
  <c r="A2" i="41"/>
  <c r="A4" i="41"/>
  <c r="A9" i="38"/>
  <c r="A2" i="37"/>
  <c r="A7" i="38"/>
  <c r="A8" i="37"/>
  <c r="A7" i="21"/>
  <c r="A9" i="8"/>
  <c r="A9" i="37"/>
  <c r="A8" i="21"/>
  <c r="A10" i="37"/>
  <c r="A8" i="8"/>
  <c r="C20" i="29"/>
  <c r="A2" i="36"/>
  <c r="A11" i="35"/>
  <c r="A10" i="35"/>
  <c r="A8" i="35"/>
  <c r="A7" i="8"/>
  <c r="A9" i="35"/>
  <c r="A4" i="35"/>
  <c r="A2" i="8"/>
  <c r="A7" i="35"/>
  <c r="A6" i="35"/>
  <c r="A2" i="35"/>
  <c r="A2" i="7"/>
  <c r="A4" i="9"/>
  <c r="A10" i="9"/>
  <c r="A9" i="9"/>
  <c r="A8" i="9"/>
  <c r="B4" i="9"/>
  <c r="A7" i="9"/>
  <c r="A2" i="9"/>
  <c r="A6" i="9"/>
  <c r="A13" i="9"/>
  <c r="A6" i="37"/>
  <c r="A6" i="84"/>
  <c r="A6" i="41"/>
  <c r="A8" i="84"/>
  <c r="A4" i="39"/>
  <c r="A7" i="84"/>
  <c r="A2" i="39"/>
  <c r="A4" i="84"/>
  <c r="A4" i="42"/>
  <c r="A2" i="84"/>
  <c r="A2" i="42"/>
  <c r="A6" i="38"/>
  <c r="A9" i="84"/>
  <c r="A6" i="8"/>
  <c r="C14" i="47"/>
  <c r="A2" i="55"/>
  <c r="A2" i="54"/>
  <c r="A4" i="16"/>
  <c r="B14" i="47"/>
  <c r="A10" i="54"/>
  <c r="A4" i="53"/>
  <c r="A2" i="16"/>
  <c r="A2" i="53"/>
  <c r="A8" i="54"/>
  <c r="A4" i="52"/>
  <c r="A4" i="54"/>
  <c r="C14" i="46"/>
  <c r="A10" i="26"/>
  <c r="A2" i="18"/>
  <c r="A4" i="57"/>
  <c r="A7" i="54"/>
  <c r="A4" i="32"/>
  <c r="A2" i="57"/>
  <c r="A6" i="54"/>
  <c r="A4" i="18"/>
  <c r="A9" i="54"/>
  <c r="A4" i="55"/>
  <c r="A4" i="51"/>
  <c r="A9" i="48"/>
  <c r="A9" i="49"/>
  <c r="A9" i="45"/>
  <c r="A4" i="50"/>
  <c r="A15" i="44"/>
  <c r="A2" i="44"/>
  <c r="A4" i="28"/>
  <c r="A9" i="44"/>
  <c r="A9" i="50"/>
  <c r="A15" i="15"/>
  <c r="A8" i="15"/>
  <c r="A2" i="28"/>
  <c r="A6" i="44"/>
  <c r="A6" i="48"/>
  <c r="A4" i="44"/>
  <c r="A9" i="15"/>
  <c r="A8" i="50"/>
  <c r="A10" i="45"/>
  <c r="A15" i="28"/>
  <c r="A7" i="15"/>
  <c r="A8" i="45"/>
  <c r="A6" i="15"/>
  <c r="A10" i="50"/>
  <c r="A9" i="28"/>
  <c r="A15" i="27"/>
  <c r="A7" i="50"/>
  <c r="A6" i="45"/>
  <c r="A8" i="44"/>
  <c r="A4" i="15"/>
  <c r="A6" i="50"/>
  <c r="A2" i="50"/>
  <c r="A7" i="45"/>
  <c r="A7" i="44"/>
  <c r="A10" i="28"/>
  <c r="A6" i="49"/>
  <c r="A4" i="45"/>
  <c r="A8" i="28"/>
  <c r="A2" i="45"/>
  <c r="A7" i="28"/>
  <c r="C19" i="29"/>
  <c r="C75" i="29"/>
  <c r="C44" i="29"/>
  <c r="C28" i="29"/>
  <c r="C12" i="29"/>
  <c r="A6" i="83"/>
  <c r="A6" i="28"/>
  <c r="A9" i="26"/>
  <c r="A19" i="44"/>
  <c r="A18" i="15"/>
  <c r="A17" i="28"/>
  <c r="A16" i="27"/>
  <c r="A15" i="26"/>
  <c r="C14" i="15"/>
  <c r="A14" i="27"/>
  <c r="A2" i="26"/>
  <c r="A7" i="27"/>
  <c r="A21" i="27"/>
  <c r="A12" i="28"/>
  <c r="A10" i="15"/>
  <c r="A21" i="28"/>
  <c r="A12" i="27"/>
  <c r="A8" i="27"/>
  <c r="A18" i="44"/>
  <c r="A17" i="15"/>
  <c r="A16" i="28"/>
  <c r="A12" i="44"/>
  <c r="B14" i="15"/>
  <c r="C14" i="26"/>
  <c r="A6" i="25"/>
  <c r="A10" i="44"/>
  <c r="A14" i="26"/>
  <c r="A19" i="26"/>
  <c r="A12" i="26"/>
  <c r="A9" i="27"/>
  <c r="A6" i="26"/>
  <c r="A17" i="44"/>
  <c r="A16" i="15"/>
  <c r="A21" i="26"/>
  <c r="A12" i="15"/>
  <c r="A14" i="15"/>
  <c r="B14" i="26"/>
  <c r="A4" i="25"/>
  <c r="A16" i="44"/>
  <c r="A20" i="26"/>
  <c r="C14" i="28"/>
  <c r="A6" i="27"/>
  <c r="A20" i="27"/>
  <c r="B14" i="28"/>
  <c r="A7" i="26"/>
  <c r="A4" i="27"/>
  <c r="A21" i="15"/>
  <c r="A20" i="28"/>
  <c r="A19" i="27"/>
  <c r="A18" i="26"/>
  <c r="C14" i="44"/>
  <c r="A14" i="28"/>
  <c r="A4" i="26"/>
  <c r="A18" i="28"/>
  <c r="A16" i="26"/>
  <c r="B14" i="27"/>
  <c r="A21" i="44"/>
  <c r="A20" i="15"/>
  <c r="A19" i="28"/>
  <c r="A18" i="27"/>
  <c r="A17" i="26"/>
  <c r="B14" i="44"/>
  <c r="C14" i="27"/>
  <c r="A8" i="26"/>
  <c r="A20" i="44"/>
  <c r="A19" i="15"/>
  <c r="A17" i="27"/>
  <c r="A14" i="44"/>
  <c r="C36" i="29"/>
  <c r="B48" i="29"/>
  <c r="B14" i="29"/>
  <c r="B46" i="29"/>
  <c r="A1" i="30"/>
  <c r="A1" i="60"/>
  <c r="C13" i="29"/>
  <c r="C45" i="29"/>
  <c r="A2" i="29"/>
  <c r="B7" i="29"/>
  <c r="B31" i="29"/>
  <c r="B55" i="29"/>
  <c r="A4" i="23"/>
  <c r="A1" i="52"/>
  <c r="A2" i="51"/>
  <c r="C14" i="29"/>
  <c r="C11" i="29"/>
  <c r="C27" i="29"/>
  <c r="C35" i="29"/>
  <c r="C43" i="29"/>
  <c r="C67" i="29"/>
  <c r="C6" i="29"/>
  <c r="B13" i="29"/>
  <c r="B21" i="29"/>
  <c r="B29" i="29"/>
  <c r="B37" i="29"/>
  <c r="B45" i="29"/>
  <c r="B53" i="29"/>
  <c r="B61" i="29"/>
  <c r="B69" i="29"/>
  <c r="A4" i="30"/>
  <c r="A1" i="86"/>
  <c r="A1" i="37"/>
  <c r="A1" i="61"/>
  <c r="A1" i="33"/>
  <c r="A1" i="54"/>
  <c r="A1" i="49"/>
  <c r="A1" i="27"/>
  <c r="A2" i="27"/>
  <c r="A2" i="33"/>
  <c r="A2" i="86"/>
  <c r="B56" i="29"/>
  <c r="B64" i="29"/>
  <c r="B72" i="29"/>
  <c r="A5" i="23"/>
  <c r="A1" i="83"/>
  <c r="A1" i="21"/>
  <c r="A1" i="34"/>
  <c r="A1" i="31"/>
  <c r="A1" i="32"/>
  <c r="A1" i="46"/>
  <c r="A1" i="23"/>
  <c r="A2" i="5"/>
  <c r="A4" i="85"/>
  <c r="B30" i="29"/>
  <c r="B62" i="29"/>
  <c r="C21" i="29"/>
  <c r="C69" i="29"/>
  <c r="B63" i="29"/>
  <c r="B24" i="29"/>
  <c r="C7" i="29"/>
  <c r="C15" i="29"/>
  <c r="C23" i="29"/>
  <c r="C31" i="29"/>
  <c r="C39" i="29"/>
  <c r="C63" i="29"/>
  <c r="C71" i="29"/>
  <c r="B5" i="29"/>
  <c r="B9" i="29"/>
  <c r="B17" i="29"/>
  <c r="B25" i="29"/>
  <c r="B33" i="29"/>
  <c r="B41" i="29"/>
  <c r="B49" i="29"/>
  <c r="B57" i="29"/>
  <c r="B65" i="29"/>
  <c r="B73" i="29"/>
  <c r="A1" i="24"/>
  <c r="A1" i="42"/>
  <c r="A1" i="9"/>
  <c r="A1" i="6"/>
  <c r="A1" i="17"/>
  <c r="A1" i="18"/>
  <c r="A1" i="45"/>
  <c r="A2" i="23"/>
  <c r="A2" i="6"/>
  <c r="A4" i="86"/>
  <c r="B2" i="29"/>
  <c r="B6" i="29"/>
  <c r="B38" i="29"/>
  <c r="B70" i="29"/>
  <c r="A1" i="36"/>
  <c r="A1" i="2"/>
  <c r="A1" i="48"/>
  <c r="C29" i="29"/>
  <c r="C61" i="29"/>
  <c r="B23" i="29"/>
  <c r="B47" i="29"/>
  <c r="B71" i="29"/>
  <c r="A1" i="35"/>
  <c r="A1" i="59"/>
  <c r="A1" i="47"/>
  <c r="A2" i="15"/>
  <c r="A1" i="85"/>
  <c r="C30" i="29"/>
  <c r="B16" i="29"/>
  <c r="C8" i="29"/>
  <c r="C16" i="29"/>
  <c r="C24" i="29"/>
  <c r="C32" i="29"/>
  <c r="C40" i="29"/>
  <c r="C72" i="29"/>
  <c r="C5" i="29"/>
  <c r="B10" i="29"/>
  <c r="B18" i="29"/>
  <c r="B26" i="29"/>
  <c r="B34" i="29"/>
  <c r="B42" i="29"/>
  <c r="B50" i="29"/>
  <c r="B58" i="29"/>
  <c r="B66" i="29"/>
  <c r="B74" i="29"/>
  <c r="A4" i="24"/>
  <c r="A1" i="41"/>
  <c r="A1" i="8"/>
  <c r="A1" i="64"/>
  <c r="A1" i="5"/>
  <c r="A1" i="57"/>
  <c r="A1" i="16"/>
  <c r="A1" i="44"/>
  <c r="A2" i="24"/>
  <c r="A2" i="32"/>
  <c r="A2" i="21"/>
  <c r="A2" i="83"/>
  <c r="C68" i="29"/>
  <c r="B22" i="29"/>
  <c r="B54" i="29"/>
  <c r="A1" i="84"/>
  <c r="A1" i="53"/>
  <c r="A1" i="26"/>
  <c r="A2" i="85"/>
  <c r="C37" i="29"/>
  <c r="B15" i="29"/>
  <c r="B39" i="29"/>
  <c r="A1" i="88"/>
  <c r="A1" i="1"/>
  <c r="A1" i="25"/>
  <c r="A2" i="56"/>
  <c r="C22" i="29"/>
  <c r="A5" i="29"/>
  <c r="B8" i="29"/>
  <c r="B32" i="29"/>
  <c r="C9" i="29"/>
  <c r="C17" i="29"/>
  <c r="C25" i="29"/>
  <c r="C33" i="29"/>
  <c r="C41" i="29"/>
  <c r="C65" i="29"/>
  <c r="C73" i="29"/>
  <c r="B11" i="29"/>
  <c r="B19" i="29"/>
  <c r="B27" i="29"/>
  <c r="B35" i="29"/>
  <c r="B43" i="29"/>
  <c r="B51" i="29"/>
  <c r="B59" i="29"/>
  <c r="B67" i="29"/>
  <c r="B75" i="29"/>
  <c r="A1" i="39"/>
  <c r="A1" i="7"/>
  <c r="A1" i="63"/>
  <c r="A1" i="3"/>
  <c r="A1" i="56"/>
  <c r="A1" i="51"/>
  <c r="A1" i="15"/>
  <c r="A2" i="25"/>
  <c r="A2" i="52"/>
  <c r="A2" i="1"/>
  <c r="A6" i="88"/>
  <c r="C38" i="29"/>
  <c r="C70" i="29"/>
  <c r="B40" i="29"/>
  <c r="C10" i="29"/>
  <c r="C18" i="29"/>
  <c r="C26" i="29"/>
  <c r="C34" i="29"/>
  <c r="C42" i="29"/>
  <c r="C66" i="29"/>
  <c r="C74" i="29"/>
  <c r="B12" i="29"/>
  <c r="B20" i="29"/>
  <c r="B28" i="29"/>
  <c r="B36" i="29"/>
  <c r="B44" i="29"/>
  <c r="B52" i="29"/>
  <c r="B60" i="29"/>
  <c r="B68" i="29"/>
  <c r="A1" i="29"/>
  <c r="A1" i="38"/>
  <c r="A1" i="62"/>
  <c r="A1" i="58"/>
  <c r="A1" i="55"/>
  <c r="A1" i="50"/>
  <c r="A1" i="28"/>
  <c r="A2" i="2"/>
  <c r="D12" i="7" l="1"/>
  <c r="B17" i="7" s="1"/>
  <c r="A17" i="7" s="1"/>
  <c r="A8" i="25"/>
  <c r="A7" i="25"/>
  <c r="B7" i="25"/>
  <c r="B4" i="35" l="1"/>
  <c r="C64" i="29" s="1"/>
  <c r="B9" i="50" l="1"/>
  <c r="B10" i="50" s="1"/>
  <c r="B9" i="84" l="1"/>
  <c r="B10" i="84" s="1"/>
  <c r="A3" i="84"/>
  <c r="B9" i="88"/>
  <c r="B10" i="88" s="1"/>
  <c r="A12" i="41"/>
  <c r="B10" i="41"/>
  <c r="B9" i="38"/>
  <c r="B10" i="38" s="1"/>
  <c r="B9" i="37"/>
  <c r="B10" i="37" s="1"/>
  <c r="B11" i="35"/>
  <c r="A13" i="35" s="1"/>
  <c r="C62" i="29"/>
  <c r="B9" i="63" l="1"/>
  <c r="B10" i="63" s="1"/>
  <c r="B9" i="62"/>
  <c r="B10" i="62" s="1"/>
  <c r="A3" i="62"/>
  <c r="B9" i="61"/>
  <c r="B10" i="61" s="1"/>
  <c r="B9" i="60"/>
  <c r="B10" i="60" s="1"/>
  <c r="B9" i="6"/>
  <c r="B10" i="6" s="1"/>
  <c r="B9" i="5"/>
  <c r="B10" i="5"/>
  <c r="B9" i="3"/>
  <c r="B10" i="3" s="1"/>
  <c r="B9" i="33"/>
  <c r="B10" i="33" s="1"/>
  <c r="B9" i="2"/>
  <c r="B10" i="2" s="1"/>
  <c r="B9" i="1"/>
  <c r="B10" i="1" s="1"/>
  <c r="B9" i="31"/>
  <c r="B10" i="31" s="1"/>
  <c r="B9" i="17"/>
  <c r="B10" i="17" s="1"/>
  <c r="B9" i="54"/>
  <c r="B10" i="54" l="1"/>
  <c r="B9" i="49"/>
  <c r="B10" i="49" s="1"/>
  <c r="B9" i="48"/>
  <c r="B10" i="48" s="1"/>
  <c r="C17" i="46"/>
  <c r="B17" i="46"/>
  <c r="C17" i="47"/>
  <c r="B17" i="47"/>
  <c r="C16" i="47"/>
  <c r="B16" i="47"/>
  <c r="B9" i="47"/>
  <c r="C16" i="46"/>
  <c r="B16" i="46"/>
  <c r="B9" i="46"/>
  <c r="B10" i="46" s="1"/>
  <c r="C20" i="44"/>
  <c r="B20" i="44"/>
  <c r="C19" i="44"/>
  <c r="B19" i="44"/>
  <c r="C18" i="44"/>
  <c r="B18" i="44"/>
  <c r="C17" i="44"/>
  <c r="B17" i="44"/>
  <c r="C16" i="44"/>
  <c r="B16" i="44"/>
  <c r="C20" i="15"/>
  <c r="B20" i="15"/>
  <c r="C19" i="15"/>
  <c r="B19" i="15"/>
  <c r="C18" i="15"/>
  <c r="B18" i="15"/>
  <c r="C17" i="15"/>
  <c r="B17" i="15"/>
  <c r="C16" i="15"/>
  <c r="B16" i="15"/>
  <c r="C20" i="28"/>
  <c r="B20" i="28"/>
  <c r="C19" i="28"/>
  <c r="B19" i="28"/>
  <c r="C18" i="28"/>
  <c r="B18" i="28"/>
  <c r="C17" i="28"/>
  <c r="B17" i="28"/>
  <c r="C16" i="28"/>
  <c r="B16" i="28"/>
  <c r="C20" i="27"/>
  <c r="B20" i="27"/>
  <c r="C19" i="27"/>
  <c r="B19" i="27"/>
  <c r="C18" i="27"/>
  <c r="B18" i="27"/>
  <c r="C17" i="27"/>
  <c r="B17" i="27"/>
  <c r="C16" i="27"/>
  <c r="B16" i="27"/>
  <c r="C20" i="26"/>
  <c r="C19" i="26"/>
  <c r="C18" i="26"/>
  <c r="C17" i="26"/>
  <c r="C16" i="26"/>
  <c r="B16" i="26"/>
  <c r="B20" i="26"/>
  <c r="B19" i="26"/>
  <c r="B18" i="26"/>
  <c r="B17" i="26"/>
  <c r="B9" i="45"/>
  <c r="B10" i="45" s="1"/>
  <c r="B9" i="44"/>
  <c r="B10" i="44" s="1"/>
  <c r="B9" i="15"/>
  <c r="B10" i="15" s="1"/>
  <c r="B9" i="28"/>
  <c r="B15" i="28" s="1"/>
  <c r="B9" i="27"/>
  <c r="B10" i="27" s="1"/>
  <c r="B9" i="26"/>
  <c r="B10" i="26" s="1"/>
  <c r="C18" i="47" l="1"/>
  <c r="B15" i="47"/>
  <c r="B10" i="47"/>
  <c r="B18" i="47"/>
  <c r="B21" i="44"/>
  <c r="C21" i="44"/>
  <c r="B21" i="27"/>
  <c r="B21" i="15"/>
  <c r="B15" i="27"/>
  <c r="B15" i="44"/>
  <c r="C21" i="26"/>
  <c r="C21" i="15"/>
  <c r="C21" i="27"/>
  <c r="C21" i="28"/>
  <c r="B15" i="46"/>
  <c r="B18" i="46"/>
  <c r="C18" i="46"/>
  <c r="B10" i="28"/>
  <c r="B15" i="26"/>
  <c r="B15" i="15"/>
  <c r="B21" i="26"/>
  <c r="B21" i="28"/>
</calcChain>
</file>

<file path=xl/sharedStrings.xml><?xml version="1.0" encoding="utf-8"?>
<sst xmlns="http://schemas.openxmlformats.org/spreadsheetml/2006/main" count="1280" uniqueCount="1137">
  <si>
    <t>---</t>
  </si>
  <si>
    <t>Index SPEI</t>
  </si>
  <si>
    <t>Produkce odpadní vody / Produkcia odpadové vody / Wastewater production</t>
  </si>
  <si>
    <t>Zastavěné, zpevněné a nepropustné plochy                                                                                                      Zastavané, spevnené a nepriepustné plochy                                                                                                                 Built-up, paved and impermeable surfaces</t>
  </si>
  <si>
    <t>Populace nejvíce zranitelná vlnám veder                                                                                                              Populácia najviac zraniteľná vlnám horúčav                                                                                                      Population most vulnerable to heat waves</t>
  </si>
  <si>
    <t>Podíl počtu kritických objektů v rizikovém území ohrožených přívalovými srážkami z celkového počtu kritických objektů                                                                                                                                                                Podiel počtu kritických objektov v rizikovom území ohrozených prívalovými zrážkami z celkového počtu kritických objektov                                                                                                                                                    Proportion of the number of critical objects in the risk area endangered by torrential rains from the total number of critical objects</t>
  </si>
  <si>
    <t>Počet starých ekologických zátěží na území města                                                                                                    Počet starých ekologických záťaží na území mesta                                                                                               Number of old ecological burdens in the city</t>
  </si>
  <si>
    <t>Podíl pitné vody na celkové spotřebě vody na zalévání veřejné zeleně                                                              Podiel pitnej vody na celkovej spotrebe vody na polievanie verejnej zelene                                                         The proportion of drinking water in the total water consumption for watering public greenery</t>
  </si>
  <si>
    <t>Průměrná využitelná kapacita zdrojů pitné vody pro potřeby města/městské části/obce na obyvatele města/městské části/obce                                                                                                                                       Priemerná využiteľná kapacita zdrojov pitnej vody pre potreby mesta/mestskej časti/obce na obyvateľa mesta/mestskej časti/obce                                                                                                                                          Average usable capacity of drinking water sources for the needs of the city/city district/municipality per inhabitant of the city/city district/municipality</t>
  </si>
  <si>
    <t>Lesní porosty náchylné k ohrožení suchem                                                                                                                 Lesné porasty náchylné k ohrozeniu suchom                                                                                                            Forest stands prone to drought</t>
  </si>
  <si>
    <t>Množství srážkové vody zachycené v katastrálním území                                                                              Množstvo zrážkovej vody zachytenej v katastrálnom území                                                                                     The amount of rainwater captured in the cadastral area</t>
  </si>
  <si>
    <t>Počet mimořádných klimatických událostí                                                                                                                   Počet mimoriadnych klimatických udalostí                                                                                                             Number of extraordinary climatic events</t>
  </si>
  <si>
    <t>Dopravní výkon v individuální automobilové dopravě                                                                                     Dopravný výkon v individuálnej automobilovej doprave                                                                                Transport performance in individual car transport</t>
  </si>
  <si>
    <t>Spotřeba dalších fosilních paliv (propan-butan, topný olej, další) v rámci administrativního území města/městské části/obce                                                                                                                                          Spotreba ďalších fosílnych palív (propán-bután, vykurovací olej, ďalšie) v rámci administratívneho území mesta/mestskej časti/obce                                                                                                                                Consumption of other fossil fuels (propane-butane, fuel oil, others) within the administrative territory of the city/city district/municipality</t>
  </si>
  <si>
    <t>Dopravní výkon v kolejové dopravě                                                                                                                       Dopravný výkon v koľajovej doprave                                                                                                                    Transport performance in rail transport</t>
  </si>
  <si>
    <t>Dopravní výkon v letecké dopravě                                                                                                                         Dopravný výkon v leteckej doprave                                                                                                                       Transport performance in air transport</t>
  </si>
  <si>
    <t>Celková produkce nebezpečného odpadu                                                                                                                Celková produkcia nebezpečného odpadu                                                                                                                    Total production of hazardous waste</t>
  </si>
  <si>
    <t>Prostředky vynaložené na realizaci adaptačních opatření                                                                            Prostriedky vynaložené na realizáciu adaptačných opatrení                                                                                 Funds spent on the implementation of adaptation measures</t>
  </si>
  <si>
    <t>Podíl území ve městě s rizikem půdních sesuvů z celkové rozlohy administrativního území                                                                           Podiel územia v mestě s rizikom pôdnych zosuvov z celkovej rozlohy administratívneho územia                                                                            The share of area in the city with the risk of landslides from the total area of the administrative territory</t>
  </si>
  <si>
    <t>Existence nízkouhlíkové strategie/politiky/akčního plánu                                                                                Existencia nízkouhlíkové stratégie/politiky/akčného plánu                                                                              Existence of a low-carbon strategy/policy/action plan</t>
  </si>
  <si>
    <t>ANO / YES</t>
  </si>
  <si>
    <t>NE / NO</t>
  </si>
  <si>
    <t>Instalovaný výkon nově nainstalovaných fotovoltaických panelů na obyvatele                                                Inštalovaný výkon novo nainštalovaných fotovoltaických panelov na obyvateľa                                           Installed capacity of newly installed photovoltaic panels per inhabitant</t>
  </si>
  <si>
    <t>Podíl OZE / Podiel OZE / Proportion of RES</t>
  </si>
  <si>
    <t>Dostupnost ploch veřejné zeleně odpovídající kvality                                                                                  Dostupnosť plôch verejnej zelene zodpovedajúcej kvality                                                                              Accessibility of areas of public greenery of adequate quality</t>
  </si>
  <si>
    <t>Spotřeba pitné vody ve městě/městské části/obci z veřejných zdrojů                                                                Spotreba pitnej vody v meste/mestskej časti/obci z verejných zdrojov                                                                                               Consumption of drinking water in the city/city district/municipality from public sources</t>
  </si>
  <si>
    <t>Spotřeba uhlí (hnědé, černé) v rámci administrativního území obce/čtvrti                                                        Spotreba uhlia (hnedé, čierne) v rámci administratívneho územia obce/štvrti                                        Consumption of coal (brown, black) within the administrative territory of the municipality/district</t>
  </si>
  <si>
    <t>Dopravní výkon v osobní, autobusové a trolejbusové dopravě                                                                           Dopravný výkon v osobnej, autobusovej a trolejbusovej doprave                                                                    Transport performance in passenger transport, bus and trolleybus transport</t>
  </si>
  <si>
    <t>Množství směsného komunálního odpadu zneškodněného skládkováním                                                     Množstvo zmesového komunálneho odpadu zneškodněného skládkovaním                                                   Amount of mixed municipal waste disposed of by landfilling</t>
  </si>
  <si>
    <t>Množství směsného komunálního odpadu zneškodněného spalováním                                                        Množstvo zmesového komunálneho odpadu zneškodněného spaľovaním                                                       Amount of mixed municipal waste disposed of by incineration</t>
  </si>
  <si>
    <t xml:space="preserve">Strategicko-institucionální situace města v oblasti adaptace na dopady změny klimatu                          Strategicko-inštitucionálna situácia mesta v oblasti adaptácie na dopady zmeny klímy                                Strategic-institutional situation of the city in the field of adaptation to the impacts of climate change </t>
  </si>
  <si>
    <t>Finanční prostředky na realizaci mitigačných opatření z celkového rozpočtu města                                       Finančné prostriedky na realizáciu mitigačných opatrení z celkového rozpočtu mesta                                       Funds for the implementation of mitigation measures from the overall city budget</t>
  </si>
  <si>
    <t>Podíl světelných míst veřejného osvětlení vyměněných za efektivnější zdroj                                                       Podiel svetelných miest verejného osvetlenia vymenených za efektívnejší zdroj                                         Proportion of light points of public lighting replaced by a more efficient source</t>
  </si>
  <si>
    <r>
      <t>Podíl obyvatel bydlících v záplavovém území Q</t>
    </r>
    <r>
      <rPr>
        <vertAlign val="subscript"/>
        <sz val="11"/>
        <color rgb="FF14110C"/>
        <rFont val="Calibri"/>
        <family val="2"/>
        <charset val="238"/>
        <scheme val="minor"/>
      </rPr>
      <t>100</t>
    </r>
    <r>
      <rPr>
        <sz val="11"/>
        <color rgb="FF14110C"/>
        <rFont val="Calibri"/>
        <family val="2"/>
        <charset val="238"/>
        <scheme val="minor"/>
      </rPr>
      <t xml:space="preserve"> z celkového počtu obyvatel                                                                                                        Podiel obyvateľov bývajúcich v záplavovej oblasti Q</t>
    </r>
    <r>
      <rPr>
        <vertAlign val="subscript"/>
        <sz val="11"/>
        <color rgb="FF14110C"/>
        <rFont val="Calibri"/>
        <family val="2"/>
        <charset val="238"/>
        <scheme val="minor"/>
      </rPr>
      <t>100</t>
    </r>
    <r>
      <rPr>
        <sz val="11"/>
        <color rgb="FF14110C"/>
        <rFont val="Calibri"/>
        <family val="2"/>
        <charset val="238"/>
        <scheme val="minor"/>
      </rPr>
      <t xml:space="preserve"> z celkového počtu obyvateľov                                                                              Proportion of inhabitants living in the flood area Q</t>
    </r>
    <r>
      <rPr>
        <vertAlign val="subscript"/>
        <sz val="11"/>
        <color rgb="FF14110C"/>
        <rFont val="Calibri"/>
        <family val="2"/>
        <charset val="238"/>
        <scheme val="minor"/>
      </rPr>
      <t>100</t>
    </r>
    <r>
      <rPr>
        <sz val="11"/>
        <color rgb="FF14110C"/>
        <rFont val="Calibri"/>
        <family val="2"/>
        <charset val="238"/>
        <scheme val="minor"/>
      </rPr>
      <t xml:space="preserve"> of the total population</t>
    </r>
  </si>
  <si>
    <t>Množství biologicky rozložitelného komunálního odpadu (BRKO)                                                                   Množstvo biologicky rozložiteľného komunálneho odpadu (BRKO)                                                                    Amount of biodegradable municipal waste</t>
  </si>
  <si>
    <t>Podíl počtu obyvatel bydlících v území ohroženém povodněmi z přívalových srážek z celkového počtu obyvatel                                                                                                                                                                                              Podiel počtu obyvateľov bývajúcich v území ohrozenom povodňami z prívalových zrážok z celkového počtu obyvateľov                                                                                                                                                                           Proportion of the number of inhabitants living in the area of flood risk from torrential rains from the total population</t>
  </si>
  <si>
    <r>
      <t>Podíl počtu kritických objektů ležících v záplavovém území říčních záplav Q</t>
    </r>
    <r>
      <rPr>
        <vertAlign val="subscript"/>
        <sz val="11"/>
        <color theme="1"/>
        <rFont val="Calibri"/>
        <family val="2"/>
        <charset val="238"/>
        <scheme val="minor"/>
      </rPr>
      <t>100</t>
    </r>
    <r>
      <rPr>
        <sz val="11"/>
        <color theme="1"/>
        <rFont val="Calibri"/>
        <family val="2"/>
        <charset val="238"/>
        <scheme val="minor"/>
      </rPr>
      <t xml:space="preserve"> z celkového počtu kritických objektů                                                                                                                                                                                                  Podiel počtu kritických objektov ležiacich v záplavovej oblasti riečnych záplav Q</t>
    </r>
    <r>
      <rPr>
        <vertAlign val="subscript"/>
        <sz val="11"/>
        <color theme="1"/>
        <rFont val="Calibri"/>
        <family val="2"/>
        <charset val="238"/>
        <scheme val="minor"/>
      </rPr>
      <t>100</t>
    </r>
    <r>
      <rPr>
        <sz val="11"/>
        <color theme="1"/>
        <rFont val="Calibri"/>
        <family val="2"/>
        <charset val="238"/>
        <scheme val="minor"/>
      </rPr>
      <t xml:space="preserve"> z celkového počtu kritických objektov                                                                                                                                                                            Proportion of the number of critical objects situated in the flood area of river floods Q</t>
    </r>
    <r>
      <rPr>
        <vertAlign val="subscript"/>
        <sz val="11"/>
        <color theme="1"/>
        <rFont val="Calibri"/>
        <family val="2"/>
        <charset val="238"/>
        <scheme val="minor"/>
      </rPr>
      <t>100</t>
    </r>
    <r>
      <rPr>
        <sz val="11"/>
        <color theme="1"/>
        <rFont val="Calibri"/>
        <family val="2"/>
        <charset val="238"/>
        <scheme val="minor"/>
      </rPr>
      <t xml:space="preserve"> from the total number of critical objects</t>
    </r>
  </si>
  <si>
    <t>Podíl obytných budov v dané energetické třídě podle spotřeby tepla na vytápění                                                  Podiel obytných budov v danej energetickej triede podľa spotreby tepla na vykurovanie                                Proportion of residential buildings in a given energy class according to heat consumption for heating</t>
  </si>
  <si>
    <t>ID</t>
  </si>
  <si>
    <t>CZ</t>
  </si>
  <si>
    <t>SK</t>
  </si>
  <si>
    <t>EN</t>
  </si>
  <si>
    <t>L4</t>
  </si>
  <si>
    <t>L5</t>
  </si>
  <si>
    <t>L6</t>
  </si>
  <si>
    <t>L7</t>
  </si>
  <si>
    <t>L8</t>
  </si>
  <si>
    <t>L9</t>
  </si>
  <si>
    <t>L10</t>
  </si>
  <si>
    <t>KLIMASKEN for cities and city districts (CD)</t>
  </si>
  <si>
    <t xml:space="preserve">KLIMASKEN pro města a městské části (MČ)                                                      </t>
  </si>
  <si>
    <t>KLIMASKEN pre mestá a mestské časti (MČ)</t>
  </si>
  <si>
    <t>Jazyk / Language:</t>
  </si>
  <si>
    <t>Čeština</t>
  </si>
  <si>
    <t>Slovenština</t>
  </si>
  <si>
    <t>English</t>
  </si>
  <si>
    <t>Vybráno</t>
  </si>
  <si>
    <t>nezadáno</t>
  </si>
  <si>
    <t>nezadané</t>
  </si>
  <si>
    <t>not entered</t>
  </si>
  <si>
    <t>Indicator sheet</t>
  </si>
  <si>
    <t>Indicator</t>
  </si>
  <si>
    <t>Indikátor</t>
  </si>
  <si>
    <t xml:space="preserve">Zadaná/vypočítaná hodnota </t>
  </si>
  <si>
    <t>Entered/calculated value</t>
  </si>
  <si>
    <t xml:space="preserve">Počet obyvatel </t>
  </si>
  <si>
    <t xml:space="preserve">Celková rozloha </t>
  </si>
  <si>
    <t xml:space="preserve">Hustota obyvatel </t>
  </si>
  <si>
    <t xml:space="preserve">Zemědělská půda </t>
  </si>
  <si>
    <t xml:space="preserve">Lesní půda </t>
  </si>
  <si>
    <t xml:space="preserve">Vodní plocha </t>
  </si>
  <si>
    <t xml:space="preserve">Zastavěné území </t>
  </si>
  <si>
    <t xml:space="preserve">Ostatní území </t>
  </si>
  <si>
    <t xml:space="preserve">Chráněné území </t>
  </si>
  <si>
    <t xml:space="preserve">Obyvatelé v bytových domech </t>
  </si>
  <si>
    <t xml:space="preserve">Obyvatelé v rodinných domech </t>
  </si>
  <si>
    <t xml:space="preserve">Připojení na veřejný vodovod </t>
  </si>
  <si>
    <t xml:space="preserve">Připojení na veřejnou kanalizaci </t>
  </si>
  <si>
    <t xml:space="preserve">Výdaje města na obyvatele </t>
  </si>
  <si>
    <t xml:space="preserve">Spotřeba dálkového tepla </t>
  </si>
  <si>
    <t xml:space="preserve">Spotřeba elektřiny </t>
  </si>
  <si>
    <t xml:space="preserve">Spotřeba zemního plynu </t>
  </si>
  <si>
    <t>Difference between the average annual air temperature in the observed year and the long-term average</t>
  </si>
  <si>
    <t xml:space="preserve">Rozdíl průměrné roční teploty vzduchu ve sledovaném roce oproti dlouhodobému průměru                                                                       </t>
  </si>
  <si>
    <t xml:space="preserve">Rozdiel priemernej ročnej teploty vzduchu v referenčnom roku oproti dlhodobému priemeru                                                         </t>
  </si>
  <si>
    <t>Difference between the number of tropical days in the observed year and the long-term average</t>
  </si>
  <si>
    <t xml:space="preserve">Rozdíl počtu tropických dní ve sledovaném roce oproti dlouhodobému průměru                                                                       </t>
  </si>
  <si>
    <t>Rozdiel počtu tropických dní v sledovanom roku oproti dlhodobému priemeru</t>
  </si>
  <si>
    <t>Difference between the number of tropical nights in the observed year and the long-term average</t>
  </si>
  <si>
    <t xml:space="preserve">Rozdíl počtu tropických nocí ve sledovaném roce oproti dlouhodobému průměru                                                                       </t>
  </si>
  <si>
    <t>Rozdiel počtu tropických nocí v sledovanom roku oproti dlhodobému priemeru</t>
  </si>
  <si>
    <t>Production of energy from renewable sources within the administrative territory of the municipality</t>
  </si>
  <si>
    <t xml:space="preserve">Výroba energie z obnovitelných zdrojů v rámci administrativního území obce                                                    </t>
  </si>
  <si>
    <t>Výroba energie z obnoviteľných zdrojov v rámci administratívneho územia obce</t>
  </si>
  <si>
    <t xml:space="preserve">Proportion of energy from RES (renewable electricity, heat and cold from renewable sources) in public buildings under city administration </t>
  </si>
  <si>
    <t xml:space="preserve">Podíl energie z OZE (obnovitelná elektřina, teplo a chlad z obnovitelných zdrojů ) ve veřejných budovách ve správě města                                                                                                                                                                        </t>
  </si>
  <si>
    <t>Podiel energie z OZE (obnoviteľná elektrina, teplo a chlad z obnoviteľných zdrojov) vo verejných budovách v správe města</t>
  </si>
  <si>
    <t>Proportion of population with permanent access to one of the sources of information (SMS, mail…)</t>
  </si>
  <si>
    <t>Podiel obyvateľov s trvalým prístupom k niektorému zo zdrojov informovania (SMS, mail ...)</t>
  </si>
  <si>
    <t>Podíl obyvatel s trvalým přístupem k některému ze zdrojů informování (SMS, mail…)</t>
  </si>
  <si>
    <t>Number of awareness-raising events for residents and local actors focused on education and increasing competencies in the field of climate change</t>
  </si>
  <si>
    <t xml:space="preserve">Počet osvětových akcí pro obyvatele a místní aktéry zaměřených na vzdělávání a zvyšování kompetencí (způsobilosti) v oblasti změny klimatu                                                                                                                           </t>
  </si>
  <si>
    <t>Počet osvetových podujatí pre obyvateľov a miestnych aktérov zameraných na vzdelávanie a zvyšovanie kompetencií (spôsobilosti) v oblasti zmeny klímy</t>
  </si>
  <si>
    <t>Land development of the agricultural land fund</t>
  </si>
  <si>
    <t>Zastavanie pôdy poľnohospodárskeho pôdneho fondu (PPF)</t>
  </si>
  <si>
    <t>Zastavění půdy zemědělského půdního fondu (ZPF)</t>
  </si>
  <si>
    <t>Proportion of water losses in the distribution system in total production</t>
  </si>
  <si>
    <t>Podiel strát vody v distribučnom systéme na celkovej výrobe</t>
  </si>
  <si>
    <t>Podíl ztrát vody v distribučním systému na celkové výrobě</t>
  </si>
  <si>
    <t>The largest number of consecutive calendar days without precipitation compared to the long-term average</t>
  </si>
  <si>
    <t>Největší počet po sobě jdoucích kalendářních dní bez srážek oproti dlouhodobému průměru</t>
  </si>
  <si>
    <t>Najväčší počet po sebe idúcich kalendárnych dní bez zrážok oproti dlhodobému priemeru</t>
  </si>
  <si>
    <t>Počet obyvateľov</t>
  </si>
  <si>
    <t>Population</t>
  </si>
  <si>
    <t>Celková rozloha</t>
  </si>
  <si>
    <t>Total area</t>
  </si>
  <si>
    <t>Hustota obyvateľstva</t>
  </si>
  <si>
    <t>Population density</t>
  </si>
  <si>
    <t>Poľnohospodárska pôda</t>
  </si>
  <si>
    <t>Agricultural land</t>
  </si>
  <si>
    <t>Lesná pôda</t>
  </si>
  <si>
    <t>Forest land</t>
  </si>
  <si>
    <t>Vodná plocha</t>
  </si>
  <si>
    <t>Water area</t>
  </si>
  <si>
    <t>Zastavané územie</t>
  </si>
  <si>
    <t>Built-up area</t>
  </si>
  <si>
    <t>Ostatné územie</t>
  </si>
  <si>
    <t>Other territories</t>
  </si>
  <si>
    <t>Chránené územie</t>
  </si>
  <si>
    <t>Protected area</t>
  </si>
  <si>
    <t>Obyvatelia v bytových domoch</t>
  </si>
  <si>
    <t>Residents in apartment buildings</t>
  </si>
  <si>
    <t>Obyvatelia v rodinných domoch</t>
  </si>
  <si>
    <t>Residents in family houses</t>
  </si>
  <si>
    <t>Pripojenie na verejný vodovod</t>
  </si>
  <si>
    <t>Connection to public water supply</t>
  </si>
  <si>
    <t>Pripojenie na verejnú kanalizáciu</t>
  </si>
  <si>
    <t>Connection to public drainage</t>
  </si>
  <si>
    <t>Výdavky mesta na obyvateľa</t>
  </si>
  <si>
    <t>City expenditures per capita</t>
  </si>
  <si>
    <t>Spotreba diaľkového tepla</t>
  </si>
  <si>
    <t>District heat consumption</t>
  </si>
  <si>
    <t>Spotreba elektriny</t>
  </si>
  <si>
    <t>Electricity consumption</t>
  </si>
  <si>
    <t>Spotreba zemného plynu</t>
  </si>
  <si>
    <t>Natural gas consumption</t>
  </si>
  <si>
    <t>Number of flash flood episodes in the past 5 years</t>
  </si>
  <si>
    <t>Počet epizod přívalových povodní v minulosti za posledních 5 let</t>
  </si>
  <si>
    <t>Počet epizód prívalových povodní v minulosti za posledných 5 rokov</t>
  </si>
  <si>
    <t>Frequency of river floods, when the river overflows in the last 5 years</t>
  </si>
  <si>
    <t>Četnost říčních záplav, kdy dochází k vybřežení toku za posledních 5 let</t>
  </si>
  <si>
    <t>Frekvencia riečnych záplav, kedy dochádza k vyliatiu toku za posledných 5 rokov</t>
  </si>
  <si>
    <t>Number of days with the occurrence of extreme meteorological phenomena (strong wind, hailing, strong thunderstorms, icing, torrential snow)</t>
  </si>
  <si>
    <t>Počet dní s výskytom extrémnych meteorologických javov (silný vietor, krupobitie, silné búrky, poľadovica, námraza, prívaly snehu)</t>
  </si>
  <si>
    <t>Počet dní s výskytem extrémních meteorologických jevů (silný vítr, krupobití, silné bouřky, ledovka, námraza, přívaly sněhu)</t>
  </si>
  <si>
    <t>Number of days with occurrence of hydrological drought in the last 5 years</t>
  </si>
  <si>
    <t>Počet dní s výskytom hydrologického sucha za posledných 5 rokov</t>
  </si>
  <si>
    <t>Počet dní s výskytem hydrologického sucha za posledních 5 let</t>
  </si>
  <si>
    <t>Climatic drought expressed using the Standardized Precipitation Evapotranspiration Index (SPEI)</t>
  </si>
  <si>
    <t>Klimatické sucho vyjadrené pomocou štandardizovaného zrážkového evapotranspiračného indexu (SPEI)</t>
  </si>
  <si>
    <t>Klimatické sucho vyjádřené pomocí Standardizovaného srážkového evapotranspiračního indexu (SPEI)</t>
  </si>
  <si>
    <t>Areas of green infrastructure in the city</t>
  </si>
  <si>
    <t>Plochy zelené infraštruktúry v mestě</t>
  </si>
  <si>
    <t>Plochy zelené infrastruktury ve městě</t>
  </si>
  <si>
    <t>Total capacity of alternative sources for electricity production</t>
  </si>
  <si>
    <t xml:space="preserve">Celkový výkon náhradních zdrojů na výrobu elektřiny                                                                                        </t>
  </si>
  <si>
    <t>Celkový výkon náhradných zdrojov na výrobu elektriny</t>
  </si>
  <si>
    <t>Wastewater production</t>
  </si>
  <si>
    <t>Produkce odpadní vody</t>
  </si>
  <si>
    <t>Produkcia odpadové vody</t>
  </si>
  <si>
    <t>Public buildings managed by the city/city district/municipality renovated to increase their adaptability to the impacts of climate change</t>
  </si>
  <si>
    <t>Veřejné budovy ve správě města/městské části/obce renovované za účelem zvýšení jejich adaptability na dopady změny klimatu</t>
  </si>
  <si>
    <t>Verejné budovy v správe mesta/mestskej časti/obce renovované za účelom zvýšenia ich adaptability na dopady zmeny klímy</t>
  </si>
  <si>
    <t>Inštalovaný výkon novo nainštalovaných fotovoltaických panelov na obyvateľa</t>
  </si>
  <si>
    <t xml:space="preserve"> Installed capacity of newly installed photovoltaic panels per inhabitant</t>
  </si>
  <si>
    <t xml:space="preserve">Podiel svetelných miest verejného osvetlenia vymenených za efektívnejší zdroj </t>
  </si>
  <si>
    <t>Proportion of light points of public lighting replaced by a more efficient source</t>
  </si>
  <si>
    <t>Podiel obytných budov v danej energetickej triede podľa spotreby tepla na vykurovanie</t>
  </si>
  <si>
    <t>Proportion of residential buildings in a given energy class according to heat consumption for heating</t>
  </si>
  <si>
    <t xml:space="preserve">Finančné prostriedky na realizáciu mitigačných opatrení z celkového rozpočtu mesta </t>
  </si>
  <si>
    <t>Funds for the implementation of mitigation measures from the overall city budget</t>
  </si>
  <si>
    <t xml:space="preserve">Existencia nízkouhlíkové stratégie/politiky/akčného plánu </t>
  </si>
  <si>
    <t>Existence of a low-carbon strategy/policy/action plan</t>
  </si>
  <si>
    <t xml:space="preserve">Prostriedky vynaložené na realizáciu adaptačných opatrení </t>
  </si>
  <si>
    <t>Funds spent on the implementation of adaptation measures</t>
  </si>
  <si>
    <t xml:space="preserve">Strategicko-inštitucionálna situácia mesta v oblasti adaptácie na dopady zmeny klímy </t>
  </si>
  <si>
    <t>Strategic-institutional situation of the city in the field of adaptation to the impacts of climate change</t>
  </si>
  <si>
    <t xml:space="preserve">Množstvo biologicky rozložiteľného komunálneho odpadu (BRKO) </t>
  </si>
  <si>
    <t>Amount of biodegradable municipal waste</t>
  </si>
  <si>
    <t>Celková produkcia nebezpečného odpadu</t>
  </si>
  <si>
    <t>Total production of hazardous waste</t>
  </si>
  <si>
    <t>Množstvo zmesového komunálneho odpadu zneškodněného spaľovaním</t>
  </si>
  <si>
    <t>Amount of mixed municipal waste disposed of by incineration</t>
  </si>
  <si>
    <t xml:space="preserve">Množstvo zmesového komunálneho odpadu zneškodněného skládkovaním </t>
  </si>
  <si>
    <t>Amount of mixed municipal waste disposed of by landfilling</t>
  </si>
  <si>
    <t xml:space="preserve">Dopravný výkon v leteckej doprave </t>
  </si>
  <si>
    <t>Transport performance in air transport</t>
  </si>
  <si>
    <t xml:space="preserve">Dopravný výkon v osobnej, autobusovej a trolejbusovej doprave </t>
  </si>
  <si>
    <t>Transport performance in passenger transport, bus and trolleybus transport</t>
  </si>
  <si>
    <t xml:space="preserve">Dopravný výkon v koľajovej doprave </t>
  </si>
  <si>
    <t>Transport performance in rail transport</t>
  </si>
  <si>
    <t xml:space="preserve">Spotreba ďalších fosílnych palív (propán-bután, vykurovací olej, ďalšie) v rámci administratívneho území mesta/mestskej časti/obce </t>
  </si>
  <si>
    <t>Consumption of other fossil fuels (propane-butane, fuel oil, others) within the administrative territory</t>
  </si>
  <si>
    <t xml:space="preserve">Spotreba uhlia (hnedé, čierne) v rámci administratívneho územia obce/štvrti </t>
  </si>
  <si>
    <t>Consumption of coal (brown, black) within the administrative territory of the municipality/district</t>
  </si>
  <si>
    <t xml:space="preserve">Dopravný výkon v individuálnej automobilovej doprave </t>
  </si>
  <si>
    <t>Transport performance in individual car transport</t>
  </si>
  <si>
    <t>Dostupnosť plôch verejnej zelene zodpovedajúcej kvality</t>
  </si>
  <si>
    <t>Accessibility of areas of public greenery of adequate quality</t>
  </si>
  <si>
    <t>Zastavané, spevnené a nepriepustné plochy</t>
  </si>
  <si>
    <t>Built-up, paved and impermeable surfaces</t>
  </si>
  <si>
    <t xml:space="preserve">Populácia najviac zraniteľná vlnám horúčav </t>
  </si>
  <si>
    <t>Population most vulnerable to heat waves</t>
  </si>
  <si>
    <t>The share of area in the city with the risk of landslides from the total area of the administrative territory</t>
  </si>
  <si>
    <t xml:space="preserve">Podiel počtu kritických objektov v rizikovom území ohrozených prívalovými zrážkami z celkového počtu kritických objektov </t>
  </si>
  <si>
    <t>Proportion of the number of critical objects in the risk area endangered</t>
  </si>
  <si>
    <t xml:space="preserve">Počet starých ekologických záťaží na území mesta </t>
  </si>
  <si>
    <t>Number of old ecological burdens in the city</t>
  </si>
  <si>
    <t>Proportion of the number of critical objects in the risk area endangered by torrential rains from the total number of critical objects</t>
  </si>
  <si>
    <t>Podiel počtu obyvateľov bývajúcich v území ohrozenom povodňami z prívalových zrážok z celkového počtu obyvateľov</t>
  </si>
  <si>
    <t>Podiel pitnej vody na celkovej spotrebe vody na polievanie verejnej zelene</t>
  </si>
  <si>
    <t>The proportion of drinking water in the total water consumption for watering public greenery</t>
  </si>
  <si>
    <t>Spotreba pitnej vody v meste/mestskej časti/obci z verejných zdrojov</t>
  </si>
  <si>
    <t>Consumption of drinking water in the city/city district/municipality from public sources</t>
  </si>
  <si>
    <t xml:space="preserve">Priemerná využiteľná kapacita zdrojov pitnej vody pre potreby mesta/mestskej časti/obce na obyvateľa mesta/mestskej časti/obce </t>
  </si>
  <si>
    <t>Average usable capacity of drinking water sources for the needs of the city/city district/municipality</t>
  </si>
  <si>
    <t>Lesné porasty náchylné k ohrozeniu suchom</t>
  </si>
  <si>
    <t>Forest stands prone to drought</t>
  </si>
  <si>
    <t>Množstvo zrážkovej vody zachytenej v katastrálnom území</t>
  </si>
  <si>
    <t>The amount of rainwater captured in the cadastral area</t>
  </si>
  <si>
    <t>Počet mimoriadnych klimatických udalostí</t>
  </si>
  <si>
    <t>Number of extraordinary climatic events</t>
  </si>
  <si>
    <t>M-POP1</t>
  </si>
  <si>
    <t>M-POP2</t>
  </si>
  <si>
    <t>M-POP3</t>
  </si>
  <si>
    <t>M-POP4</t>
  </si>
  <si>
    <t>M-POP5</t>
  </si>
  <si>
    <t>M-POP6</t>
  </si>
  <si>
    <t>M-POP7</t>
  </si>
  <si>
    <t>M-POP8</t>
  </si>
  <si>
    <t>M-POP9</t>
  </si>
  <si>
    <t>M-POP10</t>
  </si>
  <si>
    <t>M-POP11</t>
  </si>
  <si>
    <t>M-POP12</t>
  </si>
  <si>
    <t>M-POP13</t>
  </si>
  <si>
    <t>M-EXP1</t>
  </si>
  <si>
    <t>M-EXP2</t>
  </si>
  <si>
    <t>M-EXP3</t>
  </si>
  <si>
    <t>M-EXP4</t>
  </si>
  <si>
    <t>M-EXP5</t>
  </si>
  <si>
    <t>M-EXP6</t>
  </si>
  <si>
    <t>M-EXP7</t>
  </si>
  <si>
    <t>M-EXP8</t>
  </si>
  <si>
    <t>M-EXP9</t>
  </si>
  <si>
    <t>M-EXP10</t>
  </si>
  <si>
    <t>M-AD1</t>
  </si>
  <si>
    <t>M-AD2</t>
  </si>
  <si>
    <t>M-AD3</t>
  </si>
  <si>
    <t>M-AD4</t>
  </si>
  <si>
    <t>M-AD5</t>
  </si>
  <si>
    <t>M-AD6</t>
  </si>
  <si>
    <t>M-AD7</t>
  </si>
  <si>
    <t>M-AD8</t>
  </si>
  <si>
    <t>M-AD9</t>
  </si>
  <si>
    <t>M-AD10</t>
  </si>
  <si>
    <t>M-AD11</t>
  </si>
  <si>
    <t>M-AD12</t>
  </si>
  <si>
    <t>M-AD13</t>
  </si>
  <si>
    <t>M-AD14</t>
  </si>
  <si>
    <t>M-AD15</t>
  </si>
  <si>
    <t>M-AD16</t>
  </si>
  <si>
    <t>M-MIT1</t>
  </si>
  <si>
    <t>M-MIT2</t>
  </si>
  <si>
    <t>M-MIT3</t>
  </si>
  <si>
    <t>M-MIT4</t>
  </si>
  <si>
    <t>M-MIT5</t>
  </si>
  <si>
    <t>M-MIT6</t>
  </si>
  <si>
    <t>M-MIT8</t>
  </si>
  <si>
    <t>M-MIT9</t>
  </si>
  <si>
    <t>M-MIT10</t>
  </si>
  <si>
    <t>M-MIT13</t>
  </si>
  <si>
    <t>M-MIT14</t>
  </si>
  <si>
    <t>M-MIT15</t>
  </si>
  <si>
    <t>M-MIT16</t>
  </si>
  <si>
    <t>M-MIT17</t>
  </si>
  <si>
    <t>M-GOV1</t>
  </si>
  <si>
    <t>M-GOV2</t>
  </si>
  <si>
    <t>M-GOV3</t>
  </si>
  <si>
    <t>M-GOV4</t>
  </si>
  <si>
    <t>M-GOV5</t>
  </si>
  <si>
    <t>M-GOV6</t>
  </si>
  <si>
    <t>M-GOV7</t>
  </si>
  <si>
    <t>M-GOV8</t>
  </si>
  <si>
    <t>M-GOV9</t>
  </si>
  <si>
    <t>M-GOV10</t>
  </si>
  <si>
    <t>M-GOV11</t>
  </si>
  <si>
    <t>M-GOV12</t>
  </si>
  <si>
    <t>M-GOV13</t>
  </si>
  <si>
    <t>M-GOV14</t>
  </si>
  <si>
    <t>M-GOV15</t>
  </si>
  <si>
    <t>M-GOV16</t>
  </si>
  <si>
    <t>M-POP14</t>
  </si>
  <si>
    <t>Dostupnost ploch veřejné zeleně odpovídající kvality</t>
  </si>
  <si>
    <t>Zastavěné, zpevněné a nepropustné plochy</t>
  </si>
  <si>
    <t>Populace nejvíce zranitelná vlnám veder</t>
  </si>
  <si>
    <t>Podíl území ve městě s rizikem půdních sesuvů z celkové rozlohy administrativního území</t>
  </si>
  <si>
    <t>Podíl počtu kritických objektů v rizikovém území ohrožených přívalovými srážkami z celkového počtu kritických objektů</t>
  </si>
  <si>
    <t>Počet starých ekologických zátěží na území města</t>
  </si>
  <si>
    <t>Podíl počtu obyvatel bydlících v území ohroženém povodněmi z přívalových srážek z celkového počtu obyvatel</t>
  </si>
  <si>
    <t>Podíl pitné vody na celkové spotřebě vody na zalévání veřejné zeleně</t>
  </si>
  <si>
    <t>Spotřeba pitné vody ve městě/městské části/obci z veřejných zdrojů</t>
  </si>
  <si>
    <t>Průměrná využitelná kapacita zdrojů pitné vody pro potřeby města/městské části/obce na obyvatele města/městské části/obce</t>
  </si>
  <si>
    <t>Lesní porosty náchylné k ohrožení suchem</t>
  </si>
  <si>
    <t>Množství srážkové vody zachycené v katastrálním území</t>
  </si>
  <si>
    <t>Počet mimořádných klimatických událostí</t>
  </si>
  <si>
    <t>Identifikace města/MČ</t>
  </si>
  <si>
    <t>Identifikácia mesta/MČ</t>
  </si>
  <si>
    <t>City identification/CD</t>
  </si>
  <si>
    <t>Název</t>
  </si>
  <si>
    <t>Name</t>
  </si>
  <si>
    <t>Názov</t>
  </si>
  <si>
    <t>Enter the population</t>
  </si>
  <si>
    <t>Zadejte počet obyvatel</t>
  </si>
  <si>
    <t>Zadajte počet obyvateľov</t>
  </si>
  <si>
    <t>Of which population 15+</t>
  </si>
  <si>
    <t>Z toho obyvatel 15+</t>
  </si>
  <si>
    <t>Z toho obyvateľov 15+</t>
  </si>
  <si>
    <t>Enter population density (inhabitants/ha)</t>
  </si>
  <si>
    <t>Zadajte hustotu obyvateľov (obyv/ha)</t>
  </si>
  <si>
    <t>Zadejte hustotu obyvatel (obyv/ha)</t>
  </si>
  <si>
    <t>Informative density calculation based on entered data</t>
  </si>
  <si>
    <t>Informatívny výpočet hustoty na základe zadaných údajov</t>
  </si>
  <si>
    <t>Informativní výpočet hustoty na základě zadaných údajů</t>
  </si>
  <si>
    <t>Metodický list indikátoru</t>
  </si>
  <si>
    <t>Metodický list indikátora</t>
  </si>
  <si>
    <t>Methodical sheet of the indicator</t>
  </si>
  <si>
    <t>Proportion of production from RES</t>
  </si>
  <si>
    <t>Podíl výroby z OZE</t>
  </si>
  <si>
    <t>Podiel výroby z OZE</t>
  </si>
  <si>
    <t>Aid - auxiliary calculation</t>
  </si>
  <si>
    <t>Pomůcka - pomocný výpočet</t>
  </si>
  <si>
    <t>Pomôcka - pomocný výpočet</t>
  </si>
  <si>
    <t>The value of the M-POP2 and M-POP5 indicators must be entered</t>
  </si>
  <si>
    <t>Musí být zadána hodnota indikátorů M-POP2 a M-POP5</t>
  </si>
  <si>
    <t>Musí byť zadaná hodnota indikátorov M-POP2 a M-POP5</t>
  </si>
  <si>
    <t>Zadajte rozlohu mesta/mestskej časti/obce v hektároch</t>
  </si>
  <si>
    <t xml:space="preserve"> Zadejte rozlohu města/městské části/obce v hektarech</t>
  </si>
  <si>
    <t>Enter the area of the city/city district/munucipality in hectares</t>
  </si>
  <si>
    <t>Vypočítaná hustota podľa zadaných údajov POP1 a POP2</t>
  </si>
  <si>
    <t>Vypočtená hustota podle zadaných údajů POP1 a POP2</t>
  </si>
  <si>
    <t>Calculated density according to entered data POP1 and POP2</t>
  </si>
  <si>
    <t>Please enter the value of the indicator M-POP1 and M-POP2</t>
  </si>
  <si>
    <t>Zadejte prosím hodnotu indikátoru B-POP1 a B-POP2</t>
  </si>
  <si>
    <t>Zadajte prosím hodnotu indikátora M-POP1 a M-POP2</t>
  </si>
  <si>
    <t>Vypočtenou hustotu obyvatel můžete opsat do pole B4 nebo jí opravit podle vašich údajů.</t>
  </si>
  <si>
    <t>You can copy the calculated population density into field B4 or correct it according to your data.</t>
  </si>
  <si>
    <t>Vypočítanú hustotu obyvateľstva môžete skopírovať do poľa B4 alebo ju opraviť podľa svojich údajov.</t>
  </si>
  <si>
    <t>Proportion of agricultural land</t>
  </si>
  <si>
    <t>Podiel poľnohospodárskej pôdy</t>
  </si>
  <si>
    <t>Podíl zemědělské půdy</t>
  </si>
  <si>
    <t>Plocha poľnohospodárskej pôdy v ha</t>
  </si>
  <si>
    <t>Area of agricultural land in ha</t>
  </si>
  <si>
    <t>Plocha zemědělské půdy v ha</t>
  </si>
  <si>
    <t>The calculation cannot be performed</t>
  </si>
  <si>
    <t>Výpočet nemôže prebehnúť</t>
  </si>
  <si>
    <t>Výpočet nemůže proběhnout</t>
  </si>
  <si>
    <t>Vypočtené procento (můžete opsat do buňky B4)</t>
  </si>
  <si>
    <t>Vypočítané percento (možno skopírovať do bunky B4)</t>
  </si>
  <si>
    <t>Calculated percentage (you can copy in cell B4)</t>
  </si>
  <si>
    <t>In the table below, you can continuously check whether the specified areas of individual types of territories do not exceed the total area of the city</t>
  </si>
  <si>
    <t>V tabuľke nižšie môžete priebežne kontrolovať, či zadané rozlohy jednotlivých typov území neprekračujú celkovú rozlohu města</t>
  </si>
  <si>
    <t>V tabulce níže můžete průběžně kontrolovat, zda zadané rozlohy jednotlivých typů území nepřekračují celkovou rozlohu města</t>
  </si>
  <si>
    <t>Continuous check of the area composition:</t>
  </si>
  <si>
    <t xml:space="preserve">Priebežná kontrola skladby územia: </t>
  </si>
  <si>
    <t>Průběžná kontrola skladby území:</t>
  </si>
  <si>
    <t>Auxiliary calculations</t>
  </si>
  <si>
    <t>Pomocné výpočty</t>
  </si>
  <si>
    <t>Entered value</t>
  </si>
  <si>
    <t>Zadaná hodnota</t>
  </si>
  <si>
    <t>No city area is specified</t>
  </si>
  <si>
    <t>Nie je zadaná rozloha města</t>
  </si>
  <si>
    <t>Není zadána rozloha města</t>
  </si>
  <si>
    <t>Agricultural land (M-POP4)</t>
  </si>
  <si>
    <t>Zemědělská půda (M-POP4)</t>
  </si>
  <si>
    <t>Poľnohospodárska pôda (M-POP4)</t>
  </si>
  <si>
    <t>Forest land (M-POP5)</t>
  </si>
  <si>
    <t>Water areas (M-POP6)</t>
  </si>
  <si>
    <t>Built-up area (M-POP7)</t>
  </si>
  <si>
    <t xml:space="preserve">Other territories (M-POP8) </t>
  </si>
  <si>
    <t>Total entered from the area</t>
  </si>
  <si>
    <t>Celkem zadáno z rozlohy</t>
  </si>
  <si>
    <t>Celkom zadané z rozlohy</t>
  </si>
  <si>
    <t>Ostatní plochy (M-POP8)</t>
  </si>
  <si>
    <t>Ostatné plochy (M-POP8)</t>
  </si>
  <si>
    <t>Zastavěné území (M-POP7)</t>
  </si>
  <si>
    <t>Zastavané územie (M-POP7)</t>
  </si>
  <si>
    <t>Vodní plochy (M-POP6)</t>
  </si>
  <si>
    <t>Vodné plochy (M-POP6)</t>
  </si>
  <si>
    <t>Lesní půda (M-POP5)</t>
  </si>
  <si>
    <t>Lesná pôda (M-POP5)</t>
  </si>
  <si>
    <t>Rozloha (ha) (M-POP2)</t>
  </si>
  <si>
    <t>Area (ha) (M-POP2)</t>
  </si>
  <si>
    <t>Do žltého poľa zadajte plochu poľnohospodárskej pôdy v ha, podiel v % sa dopočíta</t>
  </si>
  <si>
    <t>Do žlutého pole zadejte plochu zemědělské půdy v ha, podíl v % se dopočte</t>
  </si>
  <si>
    <t>Enter the area of agricultural land in the yellow field in ha, the share in % will be calculated</t>
  </si>
  <si>
    <t>Podíl lesní půdy</t>
  </si>
  <si>
    <t>Podiel lesnej pôdy</t>
  </si>
  <si>
    <t>Proportion of forest land</t>
  </si>
  <si>
    <t>Enter the area of forest land in the yellow field in ha, the proportion in % will be calculated</t>
  </si>
  <si>
    <t>Do žltého poľa zadajte plochu lesnej pôdy v ha, podiel v % sa dopočíta</t>
  </si>
  <si>
    <t>Do žlutého pole zadejte plochu lesní půdy v ha, podíl v % se dopočte</t>
  </si>
  <si>
    <t>Area of forest land in ha</t>
  </si>
  <si>
    <t>Plocha lesní půdy v ha</t>
  </si>
  <si>
    <t>Plocha lesnej pôdy v ha</t>
  </si>
  <si>
    <t>Enter the acreage of water areas in the yellow field, the proportion in % will be calculated</t>
  </si>
  <si>
    <t>Do žlutého pole zadejte výměru vodních ploch, podíl v % se dopočte</t>
  </si>
  <si>
    <t>Do žltého poľa zadajte výmeru vodných plôch, podiel v % sa dopočíta</t>
  </si>
  <si>
    <t>Acreage of water areas in ha</t>
  </si>
  <si>
    <t>Výmera vodných plôch v ha</t>
  </si>
  <si>
    <t>Výměra vodních ploch v ha</t>
  </si>
  <si>
    <t>Proportion of water area</t>
  </si>
  <si>
    <t>Podíl vodní plochy</t>
  </si>
  <si>
    <t>Podiel vodnej plochy</t>
  </si>
  <si>
    <t>Proportion of built-up area</t>
  </si>
  <si>
    <t>Podíl zastaveného území</t>
  </si>
  <si>
    <t>Podiel zastaveného územia</t>
  </si>
  <si>
    <t>Area of built-up area in ha</t>
  </si>
  <si>
    <t>Plocha zastavěného území v ha</t>
  </si>
  <si>
    <t>Plocha zastavaného územia v ha</t>
  </si>
  <si>
    <t>Do žlutého pole zadejte plochu zastavěného území v ha, podíl v % se dopočte</t>
  </si>
  <si>
    <t>Do žltého poľa zadajte plochu zastavaného územia v ha, podiel v % sa dopočíta</t>
  </si>
  <si>
    <t>Enter the area of the built-up area (ha) in the yellow field, the proportion in % will be calculated</t>
  </si>
  <si>
    <t>Proportion of other area</t>
  </si>
  <si>
    <t>Podíl ostatního území</t>
  </si>
  <si>
    <t>Podiel ostatného územia</t>
  </si>
  <si>
    <t>Enter the area of the other territories in the yellow field in ha, the proportion in % will be calculated</t>
  </si>
  <si>
    <t>Do žlutého pole zadejte plochu ostatního území v ha, podíl v % se dopočte</t>
  </si>
  <si>
    <t>Do žltého poľa zadajte plochu ostatného územia v ha, podiel v % sa dopočíta</t>
  </si>
  <si>
    <t>Area of other territories in ha</t>
  </si>
  <si>
    <t>Plocha ostatního území v ha</t>
  </si>
  <si>
    <t>Plocha ostatného územia v ha</t>
  </si>
  <si>
    <t>Proportion of protected area</t>
  </si>
  <si>
    <t>Podíl chráněného území</t>
  </si>
  <si>
    <t>Podiel chráneného územia</t>
  </si>
  <si>
    <t>Area of protected area in ha</t>
  </si>
  <si>
    <t>Plocha chráněného území v ha</t>
  </si>
  <si>
    <t>Plocha chráneného územia v ha</t>
  </si>
  <si>
    <t>Do žlutého pole zadejte plochu chráněného území v ha, podíl v % se dopočte</t>
  </si>
  <si>
    <t>Do žltého poľa zadajte plochu chráneného územia v ha, podiel v % sa dopočíta</t>
  </si>
  <si>
    <t>Enter the area of the protected area in the yellow field v ha, the proportion in % will be calculated</t>
  </si>
  <si>
    <t>Total city expenditures per capita</t>
  </si>
  <si>
    <t>Celkové výdavky mesta na obyvateľa</t>
  </si>
  <si>
    <t>Celkové výdaje města na obyvatele</t>
  </si>
  <si>
    <t>Měna</t>
  </si>
  <si>
    <t>Mena</t>
  </si>
  <si>
    <t>Currency</t>
  </si>
  <si>
    <t>Total city expenditures</t>
  </si>
  <si>
    <t>Celkové výdaje města</t>
  </si>
  <si>
    <t>Celkové výdavky mesta</t>
  </si>
  <si>
    <t>Enter POP1 value first</t>
  </si>
  <si>
    <t>Zadajte najprv hodnotu POP1</t>
  </si>
  <si>
    <t>Zadejte nejprve hodnotu POP1</t>
  </si>
  <si>
    <t>Calculated expenditures/capita (you can rewrite in cell B4)</t>
  </si>
  <si>
    <t>Vypočtené výdaje/obyv (můžete přepsat do buňky B4)</t>
  </si>
  <si>
    <t>Vypočítané výdavky/obyv (môžete prepísať do bunky B4)</t>
  </si>
  <si>
    <t>Temperature difference (°C)</t>
  </si>
  <si>
    <t>Rozdiel teplôt (°C)</t>
  </si>
  <si>
    <t>Rozdíl teplot (°C)</t>
  </si>
  <si>
    <t>The difference in the number of tropical nights</t>
  </si>
  <si>
    <t>Rozdíl počtu tropických nocí</t>
  </si>
  <si>
    <t>Rozdiel počtu tropických nocí</t>
  </si>
  <si>
    <t>The largest number of consecutive days without precipitation</t>
  </si>
  <si>
    <t>Najväčší počet po sebe idúcich dní bez zrážok</t>
  </si>
  <si>
    <t>Největší počet po sobě jdoucích dnů bez srážek</t>
  </si>
  <si>
    <t>Number of flash flood episodes</t>
  </si>
  <si>
    <t>Počet epizod přívalových povodní</t>
  </si>
  <si>
    <t>Počet epizód prívalových povodní</t>
  </si>
  <si>
    <t>Frequency of river floods in the last 5 years</t>
  </si>
  <si>
    <t>Četnost říčních záplav za posledních 5 let</t>
  </si>
  <si>
    <t>Frekvencia riečnych záplav za posledných 5 rokov</t>
  </si>
  <si>
    <t>Number of days with extreme events</t>
  </si>
  <si>
    <t>Počet dní s extrémními jevy</t>
  </si>
  <si>
    <t>Počet dní s extrémnymi javmi</t>
  </si>
  <si>
    <t>SPEI Index</t>
  </si>
  <si>
    <t>Proportion of area of agricultural built-up land in a given year</t>
  </si>
  <si>
    <t>Podíl plochy zemědělské půdy zastavěné v daném roce</t>
  </si>
  <si>
    <t>Podiel plochy poľnohospodárskej pôdy zastavanej v danom roku</t>
  </si>
  <si>
    <t>Enter the area of built-up agricultural land in the yellow field</t>
  </si>
  <si>
    <t>Do žlutého pole zadejte plochu zastavené zemědělské půdy</t>
  </si>
  <si>
    <t>Do žltého poľa zadajte plochu zastavené poľnohospodárskej pôdy</t>
  </si>
  <si>
    <t>Plocha zastavěné zemědělské půdy v ha</t>
  </si>
  <si>
    <t>Plocha zastavané poľnohospodárskej pôdy v ha</t>
  </si>
  <si>
    <t>Area of built-up agricultural land in ha</t>
  </si>
  <si>
    <t>Total area of agricultural land (ha)</t>
  </si>
  <si>
    <t>Celková plocha zemědělské půdy (ha)</t>
  </si>
  <si>
    <t>Celková plocha poľnohospodárskej pôdy (ha)</t>
  </si>
  <si>
    <t>Proportion of built-up agricultural land (you can rewrite in cell B4)</t>
  </si>
  <si>
    <t>Podíl zastavěné zemědělské půdy (můžete přepsat do buňky B4)</t>
  </si>
  <si>
    <t>Podiel zastavané poľnohospodárskej pôdy (môžete prepísať do bunky B4)</t>
  </si>
  <si>
    <t>Proportion of water losses</t>
  </si>
  <si>
    <t>Podíl ztrát vody</t>
  </si>
  <si>
    <t>Podiel strát vody</t>
  </si>
  <si>
    <t>Proportion of renovated buildings</t>
  </si>
  <si>
    <t>Podíl renovovaných budov</t>
  </si>
  <si>
    <t>Podiel renovovaných budov</t>
  </si>
  <si>
    <t>Degree of readiness</t>
  </si>
  <si>
    <t>Míra připravenosti</t>
  </si>
  <si>
    <t>Miera pripravenosti</t>
  </si>
  <si>
    <t>Point value / %</t>
  </si>
  <si>
    <t xml:space="preserve">Bodová hodnota / % </t>
  </si>
  <si>
    <t>Bodová hodnota / %</t>
  </si>
  <si>
    <t>Is there a low-carbon plan/strategy?</t>
  </si>
  <si>
    <t>Existuje nízkouhlíkový plán/strategie?</t>
  </si>
  <si>
    <t xml:space="preserve">Existuje nízkouhlíkový plán / stratégia? </t>
  </si>
  <si>
    <t>Is the low-carbon plan reflected in the strategic plan?</t>
  </si>
  <si>
    <t>Je nízkouhlíkový plán promítnut do strategického plánu/PHSR?</t>
  </si>
  <si>
    <t>Je nízkouhlíkový plán premietnutý do strategického plánu/PHSR?</t>
  </si>
  <si>
    <t>Are mitigations projected into the organizational structure of self-government (positions for coordination/implementation)?</t>
  </si>
  <si>
    <t>Jsou mitigace promítnuty do organizační struktury samosprávy (pozice pro koordinaci/implementaci)?</t>
  </si>
  <si>
    <t>Sú mitigace premietnuté do organizačnej štruktúry samosprávy (pozícia pre koordináciu/implementáciu)?</t>
  </si>
  <si>
    <t>Is there a professional capacity (professional working group, agreements with external experts, memoranda and agreements with professional institutions, demonstrable cooperation with experts) for mitigation?</t>
  </si>
  <si>
    <t>Existuje odborná kapacita (odborná pracovná skupina, dohody s externými odborníkmi, memoranda a dohody s odbornými inštitúciami, preukázateľná spolupráca s odborníkmi) pre mitigace?</t>
  </si>
  <si>
    <t>Existuje odborná kapacita (odborná pracovní skupina, dohody s externími odborníky, memoranda a dohody s odbornými institucemi, prokazatelná spolupráce s odborníky) pro mitigace?</t>
  </si>
  <si>
    <t>Is there a systematic collection of data (impact/status/response) and their updating - relevance for reducing emissions?</t>
  </si>
  <si>
    <t>Prebieha systematický zber dát (vplyv/stav/odozva) a ich aktualizácia - relevancia pre znižovanie emisií?</t>
  </si>
  <si>
    <t>Probíhá systematický sběr dat (vliv/stav/odezva) a jejich aktualizace - relevance pro snižování emisí?</t>
  </si>
  <si>
    <t>ANO</t>
  </si>
  <si>
    <t>ÁNO</t>
  </si>
  <si>
    <t>YES</t>
  </si>
  <si>
    <t>NE</t>
  </si>
  <si>
    <t>NIE</t>
  </si>
  <si>
    <t>NO</t>
  </si>
  <si>
    <t>Not all questions are answered!</t>
  </si>
  <si>
    <t>Nejsou zodpovězeny všechny otázky!</t>
  </si>
  <si>
    <t>Nie sú zodpovedané všetky otázky!</t>
  </si>
  <si>
    <t>P7NC4-K3X6B-D9VP7-YJKPM-X4TMJ</t>
  </si>
  <si>
    <t>Proportion of buildings in categories 0 and 1</t>
  </si>
  <si>
    <t>Podiel budov v kategórii 0 a 1</t>
  </si>
  <si>
    <t>Podíl budov v kategorii 0 a 1</t>
  </si>
  <si>
    <t>Write the proportion of buildings of each type in the yellow fields</t>
  </si>
  <si>
    <t>Zapište podíl budov jednotlivých typů do žlutých polí</t>
  </si>
  <si>
    <t>Zapíšte podiel budov jednotlivých typov do žltých polí</t>
  </si>
  <si>
    <t>Total</t>
  </si>
  <si>
    <t>Celkom</t>
  </si>
  <si>
    <t>Celkem</t>
  </si>
  <si>
    <t>The sum of individual proportions does not give 100 %</t>
  </si>
  <si>
    <t>Súčet jednotlivých podielov nedáva 100 %</t>
  </si>
  <si>
    <t>Součet jednotlivých podílů nedává 100 %</t>
  </si>
  <si>
    <t>Proportion of public lighting places with an efficient source</t>
  </si>
  <si>
    <t>Podiel miest verejného osvetlenia s efektívnym zdrojom</t>
  </si>
  <si>
    <t>Podíl míst veřejného osvětlení s efektivním zdrojem</t>
  </si>
  <si>
    <t>Capacity of alternative sources per thous. inhabitants</t>
  </si>
  <si>
    <t xml:space="preserve">Výkon náhradních zdrojů na tis. obyv. </t>
  </si>
  <si>
    <t>Výkon náhradných zdrojov na tis. obyv.</t>
  </si>
  <si>
    <t>Do žlutého pole zadejte instalovaný výkon v kVA</t>
  </si>
  <si>
    <t>Do žltého poľa zadajte inštalovaný výkon v kVA</t>
  </si>
  <si>
    <t>Enter the installed capacity in kVA in the yellow field</t>
  </si>
  <si>
    <t>Calculated value kWp/thous. inhab. (you can overwrite in cell B4)</t>
  </si>
  <si>
    <t>Vypočtená hodnota kWp/tis. obyv. (můžete přepsat do buňky B4)</t>
  </si>
  <si>
    <t>Vypočítaná hodnota kWp/tis. obyv. (môžete prepísať do bunky B4)</t>
  </si>
  <si>
    <t>Installed capacity in kVA</t>
  </si>
  <si>
    <t>Inštalovaný výkon v kVA</t>
  </si>
  <si>
    <t>Instalovaný výkon (kVA)</t>
  </si>
  <si>
    <t>The proportion of funds in the total expenditures of the city</t>
  </si>
  <si>
    <t>Podiel prostriedkov na celkových výdavkoch města</t>
  </si>
  <si>
    <t>Podíl prostředků na celkových výdajích města</t>
  </si>
  <si>
    <t>Enter the total expenditures for the implementation of adaptation measures in the yellow field</t>
  </si>
  <si>
    <t>Do žltého poľa zadajte celkové výdavky na realizáciu adaptačných opatrení</t>
  </si>
  <si>
    <t>Do žlutého pole zadejte celkové výdaje na realizaci adaptačních opatření</t>
  </si>
  <si>
    <t>Expenditures on the implementation of adaptation measures</t>
  </si>
  <si>
    <t>Výdavky na realizáciu adaptačných opatrení</t>
  </si>
  <si>
    <t>Výdaje na realizaci adaptačních opatření</t>
  </si>
  <si>
    <t>Calculated proportion (you can overwrite in cell B4)</t>
  </si>
  <si>
    <t>Vypočítaný podiel (môžete prepísať do bunky B4)</t>
  </si>
  <si>
    <t>Vypočtený podíl (můžete přepsat do buňky B4)</t>
  </si>
  <si>
    <t>Zadejte nejprve hodnotu POP14</t>
  </si>
  <si>
    <t>Zadajte najprv hodnotu POP14</t>
  </si>
  <si>
    <t>Enter value POP14 first</t>
  </si>
  <si>
    <t>Celkový rozpočet města (M-POP14)</t>
  </si>
  <si>
    <t>Celkový rozpočet mesta (M-POP14)</t>
  </si>
  <si>
    <t>The total budget of the city (M-POP14)</t>
  </si>
  <si>
    <t>Počet obyvatel (M-POP1) není pravděpodobně zadán.</t>
  </si>
  <si>
    <t>The population (M-POP1) is probably not specified.</t>
  </si>
  <si>
    <t>Populácia (M-POP1) pravdepodobne nie je špecifikovaná.</t>
  </si>
  <si>
    <t>Proportion of funds for mitigation measures</t>
  </si>
  <si>
    <t>Podiel prostriedkov na mitigačné opatrenia</t>
  </si>
  <si>
    <t>Podíl prostředků na mitigační opatření</t>
  </si>
  <si>
    <t>Do žlutého pole zadejte celkové výdaje na realizaci mitigačních opatření</t>
  </si>
  <si>
    <t>Do žltého poľa zadajte celkové výdavky na realizáciu mitigačných opatrení</t>
  </si>
  <si>
    <t>Enter the total expenditures for the implementation of mitigation measures in the yellow field</t>
  </si>
  <si>
    <t>Expenditures on the implementation of mitigation measures</t>
  </si>
  <si>
    <t>Výdavky na realizáciu mitigačných opatrení</t>
  </si>
  <si>
    <t>Výdaje na realizaci mitigačních opatření</t>
  </si>
  <si>
    <t>Installed capacity per thous. inhabitants</t>
  </si>
  <si>
    <t>Inštalovaný výkon na tis. obyv.</t>
  </si>
  <si>
    <t>Instalovaný výkon na tis. obyv.</t>
  </si>
  <si>
    <t>Enter the installed capacity in kWp in the yellow field</t>
  </si>
  <si>
    <t>Do žlutého pole zadejte instalovaný výkon v kWp</t>
  </si>
  <si>
    <t>Do žltého poľa zadajte inštalovaný výkon v kWp</t>
  </si>
  <si>
    <t>Installed capacity (kWp)</t>
  </si>
  <si>
    <t>Inštalovaný výkon (kWp)</t>
  </si>
  <si>
    <t>Instalovaný výkon (kWp)</t>
  </si>
  <si>
    <t>Celkový počet obyvatel města/MČ (M-POP1)</t>
  </si>
  <si>
    <t>Celkový počet obyvateľov mesta/MČ (M-POP1)</t>
  </si>
  <si>
    <t>Total population of the city/CD (M-POP1)</t>
  </si>
  <si>
    <t>Výkon náhradních zdrojů na tis. obyv.</t>
  </si>
  <si>
    <t>Zadaný počet obyvatel (M-POP1)</t>
  </si>
  <si>
    <t>Zadejte nejprve hodnotu M-POP1</t>
  </si>
  <si>
    <t>Zadaný počet obyvateľov (M-POP1)</t>
  </si>
  <si>
    <t>Entered population (M-POP1)</t>
  </si>
  <si>
    <t>Enter M-POP1 value first</t>
  </si>
  <si>
    <t>Zadajte najprv hodnotu M-POP1</t>
  </si>
  <si>
    <t>Zadejte nejprve hodnotu M-POP2</t>
  </si>
  <si>
    <t>Zadajte najprv hodnotu M-POP2</t>
  </si>
  <si>
    <t>Enter value M-POP2 first</t>
  </si>
  <si>
    <t>Zadaná celková plocha města/MČ (M-POP2)</t>
  </si>
  <si>
    <t>Zadaná celková plocha mesta/MČ (M-POP2)</t>
  </si>
  <si>
    <t>Entered the total area of the city/CD (M-POP2)</t>
  </si>
  <si>
    <t>Population 15+ at events</t>
  </si>
  <si>
    <t>Obyvatel 15+ na akcích</t>
  </si>
  <si>
    <t>Obyvateľov 15+ na akciách</t>
  </si>
  <si>
    <t>Calculated from population share (you can rewrite in cell B4)")</t>
  </si>
  <si>
    <t>Vypočtená z podílu obyvatel (můžete přepsat do buňky B4)</t>
  </si>
  <si>
    <t>Vypočítaná z podielu obyvateľov (môžete prepísať do bunky B4)</t>
  </si>
  <si>
    <t>Proportion of population with access to sources of information</t>
  </si>
  <si>
    <t>Podíl obyvatel s přístupem ke zdrojům informací</t>
  </si>
  <si>
    <t>Podiel obyvateľov s prístupom k zdrojom informácií</t>
  </si>
  <si>
    <t>Enter the population 15+ with access to sources of information</t>
  </si>
  <si>
    <t>Zadejte počet obyvatel 15+ s přístupem k informačním zdrojům</t>
  </si>
  <si>
    <t>Zadajte počet obyvateľov 15+ s prístupom k informačným zdrojom</t>
  </si>
  <si>
    <t>Proportion of inhabitants in apartment buildings</t>
  </si>
  <si>
    <t>Podiel obyvateľov v bytových domoch</t>
  </si>
  <si>
    <t>Podíl obyvatel v bytových domech</t>
  </si>
  <si>
    <t>In the table below you can continuously check whether the entered numbers of inhabitants in individual types of dwellings do not exceed the total number of inhabitants</t>
  </si>
  <si>
    <t>V tabuľke nižšie môžete priebežne kontrolovať, či zadané počty obyvateľov v jednotlivých typoch obydlí neprekračujú celkový počet obyvateľov</t>
  </si>
  <si>
    <t>V tabulce níže můžete průběžně kontrolovat, zda zadané počty obyvatel v jednotlivých typech obydlí nepřekračují celkový počet obyvatel</t>
  </si>
  <si>
    <t>Continuous check of the population composition</t>
  </si>
  <si>
    <t>Průběžná kontrola skladby obyvatel</t>
  </si>
  <si>
    <t>Priebežná kontrola skladby obyvateľov</t>
  </si>
  <si>
    <t>No total population is specified (M-POP1)</t>
  </si>
  <si>
    <t>Nie je zadaný celkový počet obyvateľov (M-POP1)</t>
  </si>
  <si>
    <t>Není zadán celkový počet obyvatel (M-POP1)</t>
  </si>
  <si>
    <t>Residents in apartment buildings (M-POP10)</t>
  </si>
  <si>
    <t>Obyvatelé v bytových domech (M-POP10)</t>
  </si>
  <si>
    <t>Obyvatelia v bytových domoch (M-POP10)</t>
  </si>
  <si>
    <t>Residents in family houses (M-POP11)</t>
  </si>
  <si>
    <t>Obyvatelé v rodinných domech (M-POP11)</t>
  </si>
  <si>
    <t>Obyvatelia v rodinných domoch (M-POP11)</t>
  </si>
  <si>
    <t>Total entered from the data above</t>
  </si>
  <si>
    <t>Celkem zadáno z dat výše</t>
  </si>
  <si>
    <t xml:space="preserve">Celkom zadané z dát / </t>
  </si>
  <si>
    <t>Počet obyvatel (M-POP1)</t>
  </si>
  <si>
    <t>Počet obyvateľov (M-POP1)</t>
  </si>
  <si>
    <t>Population (M-POP1)</t>
  </si>
  <si>
    <t>Enter number of inhabitants in apartment buildings</t>
  </si>
  <si>
    <t>Zadajte počet obyvateľov v bytových domoch</t>
  </si>
  <si>
    <t>Zadejte počet obyvatel v bytových domech</t>
  </si>
  <si>
    <t>Enter the number of inhabitants in apartment buildings in the yellow field, the proportion in % will be calculated</t>
  </si>
  <si>
    <t>Do žltého poľa zadajte počet obyvateľov v bytových domoch, podiel v % sa dopočíta</t>
  </si>
  <si>
    <t>Do žlutého pole zadejte počet obyvatel v bytových domech, podíl v % se dopočte</t>
  </si>
  <si>
    <t>Proportion of inhabitants in family houses</t>
  </si>
  <si>
    <t>Podíl obyvatel v rodinných domech</t>
  </si>
  <si>
    <t>Podiel obyvateľov v rodinných domoch</t>
  </si>
  <si>
    <t>Zadejte počet obyvatel v rodinných domech</t>
  </si>
  <si>
    <t>Zadajte počet obyvateľov v rodinných domoch</t>
  </si>
  <si>
    <t>Enter number of inhabitants in family houses</t>
  </si>
  <si>
    <t>Enter the number of inhabitants in family houses in the yellow field, the proportion in % will be calculated</t>
  </si>
  <si>
    <t>Do žltého poľa zadajte počet obyvateľov v rodinných domoch, podiel v % sa dopočíta</t>
  </si>
  <si>
    <t>Do žlutého pole zadejte počet obyvatel v rodinných domech, podíl v % se dopočte</t>
  </si>
  <si>
    <t>Proportion of inhabitants connected to the public water supply</t>
  </si>
  <si>
    <t>Podíl obyvatel připojených na veřejný vodovod</t>
  </si>
  <si>
    <t>Podiel obyvateľov pripojených na verejný vodovod</t>
  </si>
  <si>
    <t>Enter the number of inhabitants connected to the water supply system in the yellow field, the proportion in % will be calculated</t>
  </si>
  <si>
    <t>Do žltého poľa zadajte počet obyvateľov pripojených na vodovod, podiel v % sa dopočíta</t>
  </si>
  <si>
    <t>Do žlutého pole zadejte počet obyvatel připojených na vodovod, podíl v % se dopočte</t>
  </si>
  <si>
    <t>Number of inhabitants connected to the public drainage</t>
  </si>
  <si>
    <t>Počet obyvatel připojených na veřejnou kanalizaci</t>
  </si>
  <si>
    <t>Počet obyvateľov pripojených na verejnú kanalizáciu</t>
  </si>
  <si>
    <t>Podíl obyvatel připojených na veřejnou kanalizaci</t>
  </si>
  <si>
    <t>Podiel obyvateľov pripojených na verejnú kanalizáciu</t>
  </si>
  <si>
    <t>Proportion of inhabitants connected to the public drainage</t>
  </si>
  <si>
    <t>Enter the number of inhabitants connected to the drainage in the yellow field, the proportion in % will be calculated</t>
  </si>
  <si>
    <t>Do žltého poľa zadajte počet obyvateľov pripojených na kanalizáciu, podiel v % sa dopočíta</t>
  </si>
  <si>
    <t>Do žlutého pole zadejte počet obyvatel připojených na kanalizaci, podíl v % se dopočte</t>
  </si>
  <si>
    <t>Proportion of green infrastructure areas</t>
  </si>
  <si>
    <t>Podíl ploch zelené infrastruktury</t>
  </si>
  <si>
    <t>Podiel plôch zelenej infraštruktúry</t>
  </si>
  <si>
    <t>Enter the area of green infrastructure in the yellow field, the proportion in % will be calculated</t>
  </si>
  <si>
    <t>Do žlutého pole zadejte plochu zelené infrastruktury, podíl v % se dopočte</t>
  </si>
  <si>
    <t>Do žltého poľa zadajte plochu zelenej infraštruktúry, podiel v % sa dopočíta</t>
  </si>
  <si>
    <t>The area of green infrastructure in ha</t>
  </si>
  <si>
    <t>Plocha zelené infrastruktury v ha</t>
  </si>
  <si>
    <t>Plocha zelenej infraštruktúry v ha</t>
  </si>
  <si>
    <t>Zadejte nejprve hodnotu POP2</t>
  </si>
  <si>
    <t>Zadajte najprv hodnotu POP2</t>
  </si>
  <si>
    <t>Enter POP2 value first</t>
  </si>
  <si>
    <t>Entered the total area of the city/CD</t>
  </si>
  <si>
    <t>Zadaná celková plocha města/MČ</t>
  </si>
  <si>
    <t>Zadaná celková plocha mesta/MČ</t>
  </si>
  <si>
    <t>Proportion of inhabitants within 300 m of green areas</t>
  </si>
  <si>
    <t>Proportion of built-up, paved and impermeable areas</t>
  </si>
  <si>
    <t>Proportion of vulnerable persons</t>
  </si>
  <si>
    <t>Podíl zastavěných, zpevněných a nepropustných ploch</t>
  </si>
  <si>
    <t>Podiel zastavaných, spevnených a nepriepustných plôch</t>
  </si>
  <si>
    <t>Podíl zranitelných osob</t>
  </si>
  <si>
    <t>Podiel zraniteľných osôb</t>
  </si>
  <si>
    <t>Podíl obyvatel v okruhu 300 m od zelených ploch</t>
  </si>
  <si>
    <t>Podiel obyvateľov v okruhu 300 m od zelených plôch</t>
  </si>
  <si>
    <t>Enter the number of inhabitants according to the indicator in the yellow field, the proportion in % will be calculated</t>
  </si>
  <si>
    <t>Do žlutého pole zadejte počet obyvatel dle indikátoru, podíl v % se dopočte</t>
  </si>
  <si>
    <t>Do žltého poľa zadajte počet obyvateľov podľa indikátora, podiel v % sa dopočíta</t>
  </si>
  <si>
    <t>Počet obyvatel v okruhu 300 m od zelených ploch</t>
  </si>
  <si>
    <t>Enter the area of impermeable surfaces in the yellow field, the proportion in % will be calculated</t>
  </si>
  <si>
    <t>Do žltého poľa zadajte výmer nepriepustných plôch, podiel v % sa dopočíta</t>
  </si>
  <si>
    <t>Do žlutého pole zadejte výměr nepropustných ploch, podíl v % se dopočte</t>
  </si>
  <si>
    <t>Area of green impermeable areas in ha</t>
  </si>
  <si>
    <t>Plocha zelené nepropustných ploch v ha</t>
  </si>
  <si>
    <t>Plocha zelené nepriepustných plôch v ha</t>
  </si>
  <si>
    <t>Enter the number of vulnerable inhabitants in the yellow field, the proportion in % will be calculated</t>
  </si>
  <si>
    <t>Do žlutého pole zadejte počet zranitelných obyvatel, podíl v % se dopočte</t>
  </si>
  <si>
    <t>Do žltého poľa zadajte počet zraniteľných obyvateľov, podiel v % sa dopočíta</t>
  </si>
  <si>
    <t>Number of vulnerable inhabitants</t>
  </si>
  <si>
    <t>Počet zranitelných obyvatel</t>
  </si>
  <si>
    <t>Počet zraniteľných obyvateľov</t>
  </si>
  <si>
    <t>Area of landslide risk in ha</t>
  </si>
  <si>
    <t>Plocha území s rizikem sesuvů v ha</t>
  </si>
  <si>
    <t>Plocha územia s rizikom zosuvov v ha</t>
  </si>
  <si>
    <t>Enter the area of the territories with the risk of landslides in the yellow field, the proportion in % will be calculated</t>
  </si>
  <si>
    <t>Do žlutého pole zadejte plochu území s rizikem sesuvů, podíl v % se dopočte</t>
  </si>
  <si>
    <t>Do žltého poľa zadajte plochu územia s rizikom zosuvov, podiel v % sa dopočíta</t>
  </si>
  <si>
    <t>Enter the total emissions from the energy consumed in the yellow field</t>
  </si>
  <si>
    <t>Do žlutého pole zadejte celkové emise ze spotřebované energie</t>
  </si>
  <si>
    <t>Do žltého poľa zadajte celkové emisie zo spotrebovanej energie</t>
  </si>
  <si>
    <t>Number of old ecological burdens/1000 ha</t>
  </si>
  <si>
    <t xml:space="preserve">Počet starých ekologických zátěží/1000 ha </t>
  </si>
  <si>
    <t>Počet starých ekologických záťaží/1000 ha</t>
  </si>
  <si>
    <t xml:space="preserve">Proportion of the number of inhabitants in the area of flood risk from torrential rains </t>
  </si>
  <si>
    <t>Podíl počtu obyvatel v území ohroženém povodněmi z přívalových srážek</t>
  </si>
  <si>
    <t>Podiel počtu obyvateľov v území ohrozenom povodňami z prívalových zrážok</t>
  </si>
  <si>
    <t>Number of OEB/1000 ha (you can rewrite in cell B4</t>
  </si>
  <si>
    <t>Počet SEZ/1000 ha (můžete přepsat do buňky B4)</t>
  </si>
  <si>
    <t>Počet SEZ/1000 ha (môžete prepísať do bunky B4)</t>
  </si>
  <si>
    <t>Enter the number of old environmental burdens in the yellow field</t>
  </si>
  <si>
    <t>Do žlutého pole zadejte počet starých ekologických zátěží</t>
  </si>
  <si>
    <t>Do žltého poľa zadajte počet starých ekologických záťaží</t>
  </si>
  <si>
    <t>Number of old ecological burdens</t>
  </si>
  <si>
    <t>Počet starých ekologických zátěží</t>
  </si>
  <si>
    <t xml:space="preserve">Počet starých ekologických záťaží </t>
  </si>
  <si>
    <t>Enter the number of inhabitants in the endangered area in the yellow field, the proportion in % will be calculated</t>
  </si>
  <si>
    <t>Do žlutého pole zadejte počet obyvatel v ohroženém území, podíl v % se dopočte</t>
  </si>
  <si>
    <t>Do žltého poľa zadajte počet obyvateľov v ohrozenom území, podiel v % sa dopočíta</t>
  </si>
  <si>
    <t>Number of inhabitants in the endangered area</t>
  </si>
  <si>
    <t>Počet obyvatel v ohroženém území</t>
  </si>
  <si>
    <t>Počet obyvateľov v ohrozenom území</t>
  </si>
  <si>
    <t>Drinking water consumption (l/inhabitant/day)</t>
  </si>
  <si>
    <t>Spotřeba pitné vody (l/obyv/den)</t>
  </si>
  <si>
    <t>Spotreba pitnej vody (l/obyv/deň)</t>
  </si>
  <si>
    <t>Enter the total water consumption in the city in the yellow field</t>
  </si>
  <si>
    <t>Do žlutého pole zadejte celkovou spotřebu vody ve městě</t>
  </si>
  <si>
    <t>Do žltého poľa zadajte celkovú spotrebu vody v mestě</t>
  </si>
  <si>
    <t>Calculated value l/inhabitant/day (you can overwrite in cell B4)</t>
  </si>
  <si>
    <t>Vypočtená hodnota l/obyv/den (můžete přepsat do buňky B4)</t>
  </si>
  <si>
    <t>Vypočítaná hodnota l/obyv/deň (môžete prepísať do bunky B4)</t>
  </si>
  <si>
    <t>Source capacity (l/s per 1000 inhabitants)</t>
  </si>
  <si>
    <t>Kapacita zdrojů (l/s na 1000 obyvatel)</t>
  </si>
  <si>
    <t>Kapacita zdrojov (l/s na 1000 obyvateľov)</t>
  </si>
  <si>
    <t>Enter the capacity of water sources in l/s in the yellow field, the value will be calculated</t>
  </si>
  <si>
    <t>Do žlutého pole zadejte kapacitu zdrojů vody v l/s, hodnota se dopočte</t>
  </si>
  <si>
    <t>Do žltého poľa zadajte kapacitu zdrojov vody v l/s, hodnota sa dopočíta</t>
  </si>
  <si>
    <t>Capacity of drinking water sources l/s</t>
  </si>
  <si>
    <t xml:space="preserve">Kapacita zdrojů pitné vody l/s </t>
  </si>
  <si>
    <t>Kapacita zdrojov pitnej vody l/s</t>
  </si>
  <si>
    <t>Calculated value l/s/1000 inhabitants (you can overwrite in cell B4)</t>
  </si>
  <si>
    <t>Vypočtená hodnota l/s/1000 obyv (můžete přepsat do buňky B4)</t>
  </si>
  <si>
    <t>Vypočítaná hodnota l/s/1000 obyv (môžete prepísať do bunky B4)</t>
  </si>
  <si>
    <t>Proportion of endangered forest stands</t>
  </si>
  <si>
    <t>Podíl ohrožených lesních porostů</t>
  </si>
  <si>
    <t>Podiel ohrozených lesných porastov</t>
  </si>
  <si>
    <t>Enter the area of endangered forests in the yellow field</t>
  </si>
  <si>
    <t>Do žlutého pole zadejte plochu ohrožených lesů</t>
  </si>
  <si>
    <t>Do žltého poľa zadajte plochu ohrozených lesov</t>
  </si>
  <si>
    <t>Area of endangered forests (ha)</t>
  </si>
  <si>
    <t>Plocha ohrožených lesů (ha)</t>
  </si>
  <si>
    <t>Plocha ohrozených lesov (ha)</t>
  </si>
  <si>
    <t>Total forest area (ha)</t>
  </si>
  <si>
    <t>Celková plocha lesů (ha)</t>
  </si>
  <si>
    <t>Celková plocha lesov (ha)</t>
  </si>
  <si>
    <t>Enter the total amount of water retained on cadastral area in the yellow field</t>
  </si>
  <si>
    <t>Do žlutého pole zadejte celkové množství vody zadržené na k.ú.</t>
  </si>
  <si>
    <t>Do žltého poľa zadajte celkové množstvo vody zadržanej na k.ú.</t>
  </si>
  <si>
    <t>Podíl kritických obj. ohrožených přívalovými srážkami (%)</t>
  </si>
  <si>
    <t>Podíl pitné vody na spotřebě na zálivku zeleně (%)</t>
  </si>
  <si>
    <t>Podiel pitnej vody na spotrebe na zálievku zelene (%)</t>
  </si>
  <si>
    <t>The proportion of drinking water in consumption for watering greenery (%)</t>
  </si>
  <si>
    <t>Podiel kritických obj. ohrozených prívalovými zrážkami (%)</t>
  </si>
  <si>
    <t>Proportion of critical obj. endangered by torrential rains (%)</t>
  </si>
  <si>
    <t>Počet mimořádných klimatických událostí  (posledních 5 let)</t>
  </si>
  <si>
    <t>Počet mimoriadnych klimatických udalostí (posledných 5 rokov)</t>
  </si>
  <si>
    <t>Number of extraordinary climatic events (last 5 years)</t>
  </si>
  <si>
    <r>
      <t>Podíl budov kategorie 0 (obnovená, do 50 kWh/m²</t>
    </r>
    <r>
      <rPr>
        <sz val="11"/>
        <color theme="1"/>
        <rFont val="Calibri"/>
        <family val="2"/>
        <charset val="238"/>
        <scheme val="minor"/>
      </rPr>
      <t xml:space="preserve"> ročně)</t>
    </r>
  </si>
  <si>
    <t>Podíl budov kategorie 1 (částečně obnovená, 51-70 kWh/m² ročně)</t>
  </si>
  <si>
    <t>Podíl budov kategorie 2 (minimálně obnovená, 71-90 kWh/m² ročně)</t>
  </si>
  <si>
    <t>Podíl budov kategorie 3 (neobnovená, nad 90 kWh/m² ročně)</t>
  </si>
  <si>
    <t>Podiel budov kategórie 0 (obnovená, do 50 kWh / m² ročne)</t>
  </si>
  <si>
    <t>Proportion of category 0 buildings (renovated, up to 50 kWh/m² per year)</t>
  </si>
  <si>
    <t>Podiel budov kategórie 1 (čiastočne obnovená, 51-70 kWh/m² ročne)</t>
  </si>
  <si>
    <t>Proportion of category 1 buildings (partially renovated, 51-70 kWh/m² per year)</t>
  </si>
  <si>
    <t>Podiel budov kategórie 2 (minimálne obnovená, 71-90 kWh/m² ročne)</t>
  </si>
  <si>
    <t>Proportion of category 2 buildings (minimally renovated, 71-90 kWh/m² per year)</t>
  </si>
  <si>
    <t>Podiel budov kategórie 3 (neobnovená, nad 90 kWh/m² ročne)</t>
  </si>
  <si>
    <t>Proportion of category 3 buildings (not renovated, over 90 kWh/m² per year)</t>
  </si>
  <si>
    <t>Roční spotřeba vody ve městě (m³)</t>
  </si>
  <si>
    <t>Ročná spotreba vody v mestě (m³)</t>
  </si>
  <si>
    <t>Annual water consumption in the city (m³)</t>
  </si>
  <si>
    <t>Zadržená voda na obyvatele (m³)</t>
  </si>
  <si>
    <t>Zadržaná voda na obyvateľa (m³)</t>
  </si>
  <si>
    <t>Water retained per inhabitant (m³)</t>
  </si>
  <si>
    <t>Roční množství vody zadržené na k.ú.  (m³)</t>
  </si>
  <si>
    <t>Ročné množstvo vody zadržanej na k.ú.  (m³)</t>
  </si>
  <si>
    <t>Annual amount of water retained in cadastral area  (m³)</t>
  </si>
  <si>
    <t>Vypočtená hodnota m³/obyv. (můžete přepsat do buňky B4)</t>
  </si>
  <si>
    <t>Vypočítaná hodnota m³/obyv. (môžete prepísať do bunky B4)</t>
  </si>
  <si>
    <t>Calculated value m³/obyv. (you can overwrite in cell B4)</t>
  </si>
  <si>
    <t>Podíl záplavového území vymezeného čárou Q₁₀₀ z celkové rozlohy administrativního území města/městské části/obce</t>
  </si>
  <si>
    <t>Podiel záplavového územia vymedzeného čiarou Q₁₀₀ z celkovej rozlohy administratívneho území mesta/mestskej časti/obce</t>
  </si>
  <si>
    <t>Proportion of the flood area defined by line Q₁₀₀ from the total area of the administrative territory of the city/city district/municipality</t>
  </si>
  <si>
    <t>Podíl obyvatel bydlících v záplavovém území Q₁₀₀ z celkového počtu obyvatel</t>
  </si>
  <si>
    <t xml:space="preserve">Podiel obyvateľov bývajúcich v záplavovej oblasti Q₁₀₀ z celkového počtu obyvateľov </t>
  </si>
  <si>
    <t>Proportion of inhabitants living in the flood area Q₁₀₀ of the total population</t>
  </si>
  <si>
    <t>Podíl počtu kritických objektů ležících v záplavovém území říčních záplav Q₁₀₀ z celkového počtu kritických objektů</t>
  </si>
  <si>
    <t>Podiel počtu kritických objektov ležiacich v záplavovej oblasti riečnych záplav Q₁₀₀ z celkového počtu kritických objektov Proportion of</t>
  </si>
  <si>
    <t>Podíl záplavového území Q₁₀₀</t>
  </si>
  <si>
    <t>Podiel záplavového územia Q₁₀₀</t>
  </si>
  <si>
    <t>Proportion of flood area Q₁₀₀</t>
  </si>
  <si>
    <t>Do žlutého pole zadejte plochu záplavového území Q₁₀₀, podíl v % se dopočte</t>
  </si>
  <si>
    <t>Do žltého poľa zadajte plochu záplavového územia Q₁₀₀, podiel v % sa dopočíta</t>
  </si>
  <si>
    <t>Enter the area of the Q₁₀₀ floodplain in the yellow field, the proportion in % will be calculated</t>
  </si>
  <si>
    <t>Plocha záplavového území Q₁₀₀ (ha)</t>
  </si>
  <si>
    <t>Plocha záplavového územia Q₁₀₀ (ha)</t>
  </si>
  <si>
    <t>Flood area Q₁₀₀ (ha)</t>
  </si>
  <si>
    <t>Podíl kritických obj. ohrožených v záplav. území Q₁₀₀ (%)</t>
  </si>
  <si>
    <t>Podiel kritických obj. ohrozených v záplav. oblasti Q₁₀₀ (%)</t>
  </si>
  <si>
    <t>Proportion of critical obj. endangered in the flood area Q₁₀₀ (%)</t>
  </si>
  <si>
    <t>Do žlutého pole zadejte počet obyvatel žijících v území Q₁₀₀, podíl v % se dopočte</t>
  </si>
  <si>
    <t>Do žltého poľa zadajte počet obyvateľov žijúcich v území Q₁₀₀, podiel v % sa dopočíta</t>
  </si>
  <si>
    <t>Enter the number of inhabitants living in the Q₁₀₀ area in the yellow field, the proportion in % will be calculated</t>
  </si>
  <si>
    <t>Počet obyvatel žijících v záplavovém území Q₁₀₀</t>
  </si>
  <si>
    <t>Počet obyvateľov žijúcich v záplavovej oblasti Q₁₀₀</t>
  </si>
  <si>
    <t>Number of inhabitants living in the flood area Q₁₀₀</t>
  </si>
  <si>
    <t>€</t>
  </si>
  <si>
    <t>Do žlutého pole zadejte celkové rozpočtové výdaje města (v €)</t>
  </si>
  <si>
    <t>Do žltého poľa zadajte celkové rozpočtové výdavky mesta (v €)</t>
  </si>
  <si>
    <t>Enter the total city expenditures in the yellow field (in €)</t>
  </si>
  <si>
    <t xml:space="preserve">Podiel územia v meste s rizikom pôdnych zosuvov z celkovej rozlohy administratívneho územia </t>
  </si>
  <si>
    <t>₂</t>
  </si>
  <si>
    <t>Vypočtená hodnota kg CO₂ ekv./obyv. (můžete přepsat do buňky B4)</t>
  </si>
  <si>
    <t>Vypočítaná hodnota kg CO₂ ekv./obyv. (Môžete prepísať do bunky B4)</t>
  </si>
  <si>
    <t>Calculated value kg CO₂ eq./inhabitant (you can overwrite in cell B4)</t>
  </si>
  <si>
    <t>Emise ze spotřebovaného tepla (kg CO₂ ekv.)</t>
  </si>
  <si>
    <t>Emisie zo spotrebovaného tepla (kg CO₂ ekv.)</t>
  </si>
  <si>
    <t>Emissions from consumed heat (kg CO₂ eq.)</t>
  </si>
  <si>
    <t>Emise ze spotřebované elektřiny (kg CO₂ ekv.)</t>
  </si>
  <si>
    <t>Emisie zo spotrebovanej elektriny (kg CO₂ ekv.)</t>
  </si>
  <si>
    <t>Emissions from consumed electricity (kg CO₂ eq.)</t>
  </si>
  <si>
    <t>Emise ze spotřebovaného zemního plynu plynu (kg CO₂ ekv.)</t>
  </si>
  <si>
    <t>Emisie zo spotrebovaného zemného plynu (kg CO₂ ekv.)</t>
  </si>
  <si>
    <t>Emissions from natural gas consumed (kg CO₂ eq.)</t>
  </si>
  <si>
    <t>Emise z dopravního výkonu (kg CO₂ ekv.)</t>
  </si>
  <si>
    <t>Emisie z dopravného výkonu (kg CO₂ ekv.)</t>
  </si>
  <si>
    <t>Emissions from transport performance (kg CO₂ eq.)</t>
  </si>
  <si>
    <t>Emise z uhlí (kg CO₂ ekv.)</t>
  </si>
  <si>
    <t>Emisie z uhlia (kg CO₂ ekv.)</t>
  </si>
  <si>
    <t>Coal emissions (kg CO₂ eq.)</t>
  </si>
  <si>
    <t>Emise z dalších fosil. paliv (kg CO₂ ekv.)</t>
  </si>
  <si>
    <t xml:space="preserve">Emisie z ďalších fosil. palív (kg CO₂ ekv.) </t>
  </si>
  <si>
    <t>Emissions from other fossil fuel (kg CO₂ eq.)</t>
  </si>
  <si>
    <t>Emise z kolejové dopravy (kg CO₂ ekv.)</t>
  </si>
  <si>
    <t>Emisie z koľajovej dopravy (kg CO₂ ekv.)</t>
  </si>
  <si>
    <t>Emissions from rail transport (kg CO₂ eq.)</t>
  </si>
  <si>
    <t>Emise z aut. a trolejb. dopravy (kg CO₂ ekv.)</t>
  </si>
  <si>
    <t>Emisie z aut. a trolejb. dopravy (kg CO₂ ekv.)</t>
  </si>
  <si>
    <t>Emissions from bus and trolleybus transport (kg CO₂ eq.)</t>
  </si>
  <si>
    <t>Emise z letecké dopravy (kg CO₂ ekv.)</t>
  </si>
  <si>
    <t>Emisie z leteckej dopravy (kg CO₂ ekv.)</t>
  </si>
  <si>
    <t>Emissions from air transport (kg CO₂ eq.)</t>
  </si>
  <si>
    <t>Emise ze skládkování odpadu (kg CO₂ ekv.)</t>
  </si>
  <si>
    <t>Emisie zo skládkovania odpadu (kg CO₂ ekv.)</t>
  </si>
  <si>
    <t>Landfill emissions (kg CO₂ eq.)</t>
  </si>
  <si>
    <t>Emise ze spalování odpadu (kg CO₂ ekv.)</t>
  </si>
  <si>
    <t>Emisie zo spaľovania odpadu (kg CO₂ ekv.)</t>
  </si>
  <si>
    <t>Emissions from waste incineration (kg CO₂ eq.)</t>
  </si>
  <si>
    <t>Emise z nebezpečného odpadu (kg CO₂ ekv.)</t>
  </si>
  <si>
    <t>Emisie z nebezpečného odpadu (kg CO₂ ekv.)</t>
  </si>
  <si>
    <t>Hazardous waste emissions (kg CO₂ eq.)</t>
  </si>
  <si>
    <t>Emise z odpadních vod (kg CO₂ ekv.)</t>
  </si>
  <si>
    <t>Emisie z odpadových vôd (kg CO₂ ekv.)</t>
  </si>
  <si>
    <t>Wastewater emissions (kg CO₂ eq.)</t>
  </si>
  <si>
    <t>Emise z BRKO (kg CO₂ ekv.)</t>
  </si>
  <si>
    <t>Emisie z BRKO (kg CO₂ ekv.)</t>
  </si>
  <si>
    <t>Emissions from biodegradable municipal waste (kg CO₂ eq.)</t>
  </si>
  <si>
    <t>Emise ze spotřebovaného tepla (kg CO₂ ekv./obyv)</t>
  </si>
  <si>
    <t>Emisie zo spotrebovaného tepla (kg CO₂ ekv./obyv)</t>
  </si>
  <si>
    <t>Emissions from consumed heat (kg CO₂ eq./capita)</t>
  </si>
  <si>
    <t>Emise ze spotřebované elektřiny (kg CO₂ ekv./obyv)</t>
  </si>
  <si>
    <t>Emisie zo spotrebovanej elektriny (kg CO₂ ekv./obyv)</t>
  </si>
  <si>
    <t>Emissions from consumed electricity (kg CO₂ eq./capita)</t>
  </si>
  <si>
    <t>Emise ze spotřebovaného zemního plynu (kg CO₂ ekv./obyv)</t>
  </si>
  <si>
    <t>Emisie zo spotrebovaného zemného plynu (kg CO₂ ekv./obyv)</t>
  </si>
  <si>
    <t>Emissions from consumed natural gas (kg CO₂ eq./capita)</t>
  </si>
  <si>
    <t>Emise z dopravního výkonu IAD (kg CO₂ ekv./obyv)</t>
  </si>
  <si>
    <t>Emisie z dopravného výkonu IAD (kg CO₂ ekv./obyv)</t>
  </si>
  <si>
    <t>Emissions from ICT transport performance (kg CO₂ eq./capita)</t>
  </si>
  <si>
    <t>Emise ze spotřebovaného uhlí (kg CO₂ ekv./obyv)</t>
  </si>
  <si>
    <t>Emisie zo spotrebovaného uhlia (kg CO₂ ekv./obyv)</t>
  </si>
  <si>
    <t>Emissions from consumed coal (kg CO₂ eq./capita)</t>
  </si>
  <si>
    <t>Emise ze spotřebovaných fosilních paliv  (kg CO₂ ekv./obyv)</t>
  </si>
  <si>
    <t>Emisie zo spotrebovaných fosílnych palív (kg CO₂ ekv./obyv)</t>
  </si>
  <si>
    <t>Emissions from fossil fuels consumed (kg CO₂ eq./capita)</t>
  </si>
  <si>
    <t>Emise z kolejové dopravy  (kg CO₂ ekv./obyv)</t>
  </si>
  <si>
    <t>Emisie z koľajovej dopravy (kg CO₂ ekv./obyv)</t>
  </si>
  <si>
    <t>Emissions from rail transport (kg CO₂ eq./capita)</t>
  </si>
  <si>
    <t>Emise z osobní autobusové a trolejbusové dopravy (kg CO₂ ekv./obyv)</t>
  </si>
  <si>
    <t>Emisie z osobnej autobusovej a trolejbusovej dopravy (kg CO₂ ekv./obyv)</t>
  </si>
  <si>
    <t>Emissions from passenger transport, bus and trolleybus transport (kg CO₂ eq./capita)</t>
  </si>
  <si>
    <t>Emise z letecké dopravy (kg CO₂ ekv./obyv)</t>
  </si>
  <si>
    <t>Emisie z leteckej dopravy (kg CO₂ ekv./obyv)</t>
  </si>
  <si>
    <t>Emissions from air transport (kg CO₂ eq./capita)</t>
  </si>
  <si>
    <t>Emise ze skládkování odpadu (kg CO₂ ekv./obyv)</t>
  </si>
  <si>
    <t>Emisie zo skládkovania odpadu (kg CO₂ ekv./obyv)</t>
  </si>
  <si>
    <t>Landfill emissions (kg CO₂ eq./capita)</t>
  </si>
  <si>
    <t>Emise ze spalování odpadu (kg CO₂ ekv./obyv)</t>
  </si>
  <si>
    <t>Emisie zo spaľovania odpadu (kg CO₂ ekv./obyv)</t>
  </si>
  <si>
    <t>Emissions from waste incineration (kg CO₂ eq./capita)</t>
  </si>
  <si>
    <t>Emise z nebezpečného odpadu (kg CO₂ ekv./obyv)</t>
  </si>
  <si>
    <t>Emisie z nebezpečného odpadu (kg CO₂ ekv./obyv)</t>
  </si>
  <si>
    <t>Hazardous waste emissions (kg CO₂ eq./capita)</t>
  </si>
  <si>
    <t>Emise z BRKO (kg CO₂ ekv./obyv)</t>
  </si>
  <si>
    <t>Emisie z BRKO (kg CO₂ ekv./obyv)</t>
  </si>
  <si>
    <t>Emissions from biodegradable municipal waste (kg CO₂ eq./capita)</t>
  </si>
  <si>
    <t>The city/municipality does not implement any systematic activities in the field of adaptation to adverse effects of climate change and/or the city/municipality has the topic of adaptation to adverse effects of climate change (or selected objectives or specific measures) elaborated/included/mentioned as part of the Programme for Economic and Social Development (PHSR) and/or the Spatial Development Plan (SDP) without detailed analysis</t>
  </si>
  <si>
    <t>The city/municipality has developed a comprehensive adaptation strategy/plan or SECAP (if the city/municipality is involved in the Covenant of Mayors).</t>
  </si>
  <si>
    <t>Komplexní adaptační strategie je promítnuta v klíčových rozvojových dokumentech města/městské části/obce PHSR a / nebo ÚPN.</t>
  </si>
  <si>
    <t>In addition to points 4 (D), 3 (C) and 2 (B), the city/municipality has developed and implemented an implementation mechanism for monitoring, evaluating and updating the adaptation strategy of the city/municipality (including systematic data collection).</t>
  </si>
  <si>
    <t>The comprehensive adaptation strategy is reflected in the key development documents of the city/municipality PHSR and/or the Master Plan.</t>
  </si>
  <si>
    <t>Mesto/obec má vypracovanú komplexnú adaptačnú stratégiu/plán alebo SECAP (ak je mesto/obec zapojené do Dohovoru primátorov a starostov).</t>
  </si>
  <si>
    <t>Komplexná adaptačná stratégia je premietnutá do kľúčových rozvojových dokumentov mesta/obce PHSR a/alebo územného plánu.</t>
  </si>
  <si>
    <t>Celkový počet světelných míst s vyměněným zdrojem</t>
  </si>
  <si>
    <t>Celkový počet světelných míst ve městě/obci/městské části</t>
  </si>
  <si>
    <t>Celkový počet svetelných bodov v meste/obci/mestskej časti</t>
  </si>
  <si>
    <t>otal number of light points in the city/municipality/urban district</t>
  </si>
  <si>
    <t>Total number of light points with replaced light source</t>
  </si>
  <si>
    <t>Celkový počet svetelných bodov s vymeneným svetelným zdrojom</t>
  </si>
  <si>
    <t>Celkový počet obnovených budov</t>
  </si>
  <si>
    <t>Celkový počet budov</t>
  </si>
  <si>
    <t>Total number of buildings</t>
  </si>
  <si>
    <t>Total number of buildings renovated</t>
  </si>
  <si>
    <t>Celková spotřeba energie v městských budovách</t>
  </si>
  <si>
    <t>Spotřeba energie vyrobené z OZE</t>
  </si>
  <si>
    <t>Celková spotreba energie v obecných budovách</t>
  </si>
  <si>
    <t>Spotreba energie vyrobenej z OZE</t>
  </si>
  <si>
    <t>Total energy consumption in municipal buildings</t>
  </si>
  <si>
    <t>Energy consumption produced from RES</t>
  </si>
  <si>
    <t>Celková výroba energie v rámci administrativního území města</t>
  </si>
  <si>
    <t xml:space="preserve">Výroba energie z OZE v rámci administrativního území města </t>
  </si>
  <si>
    <t>Total energy production within the administrative area of the city</t>
  </si>
  <si>
    <t xml:space="preserve">Energy production from RES within the administrative territory of the city </t>
  </si>
  <si>
    <t>Celková výroba energie v rámci administratívnej oblasti mesta</t>
  </si>
  <si>
    <t xml:space="preserve">Výroba energie z OZE na administratívnom území mesta </t>
  </si>
  <si>
    <t>Některé emisní faktory se významně liší podle státu. Upřesněte prosím zemi, pro kterou má být výpočet prováděn.</t>
  </si>
  <si>
    <t>Niektoré emisné faktory sa významne líši podľa štátu. Uveďte štát, pre ktorý má byť výpočet vykonávaný.</t>
  </si>
  <si>
    <t>Some emission factors vary significantly by country. Please specify the country for which the calculation is to be performed.</t>
  </si>
  <si>
    <t>Pokud zemi neupřesníte, budou uvažovány hodnoty pro Českou republiku.</t>
  </si>
  <si>
    <t>Ak štát neupřesníte, budú uvažované hodnoty pre Českú republiku.</t>
  </si>
  <si>
    <t>If you do not specify the country, the values for the Czech Republic will be considered.</t>
  </si>
  <si>
    <t>Česká republika</t>
  </si>
  <si>
    <t>Czech Republic</t>
  </si>
  <si>
    <t>Emisní indikátory - upřesnění státu</t>
  </si>
  <si>
    <t>Emisné indikátory - upresnenie štátu</t>
  </si>
  <si>
    <t>Emission indicators - specification of the country</t>
  </si>
  <si>
    <t>Slovensko</t>
  </si>
  <si>
    <t>Slovakia</t>
  </si>
  <si>
    <t>Maďarsko</t>
  </si>
  <si>
    <t>Hungary</t>
  </si>
  <si>
    <t>Německo</t>
  </si>
  <si>
    <t>Nemecko</t>
  </si>
  <si>
    <t>Deutschland</t>
  </si>
  <si>
    <t>Polsko</t>
  </si>
  <si>
    <t>Poľsko</t>
  </si>
  <si>
    <t>Poland</t>
  </si>
  <si>
    <t>Rakousko</t>
  </si>
  <si>
    <t>Rakúsko</t>
  </si>
  <si>
    <t>Austria</t>
  </si>
  <si>
    <t>Bělorusko</t>
  </si>
  <si>
    <t>Bielorusko</t>
  </si>
  <si>
    <t>Belarus</t>
  </si>
  <si>
    <t>Bulharsko</t>
  </si>
  <si>
    <t>Bulgaria</t>
  </si>
  <si>
    <t>Chorvatsko</t>
  </si>
  <si>
    <t>Chorvátsko</t>
  </si>
  <si>
    <t>Croatia</t>
  </si>
  <si>
    <t>Kypr</t>
  </si>
  <si>
    <t>Cyprus</t>
  </si>
  <si>
    <t>Dánsko</t>
  </si>
  <si>
    <t>Denmark</t>
  </si>
  <si>
    <t>Estonsko</t>
  </si>
  <si>
    <t>Estónsko</t>
  </si>
  <si>
    <t>Estonia</t>
  </si>
  <si>
    <t>Francie</t>
  </si>
  <si>
    <t>Francúzsko</t>
  </si>
  <si>
    <t>France</t>
  </si>
  <si>
    <t>Lotyšsko</t>
  </si>
  <si>
    <t>Latvia</t>
  </si>
  <si>
    <t>Litva</t>
  </si>
  <si>
    <t>Lithaunia</t>
  </si>
  <si>
    <t>Nizozemsko</t>
  </si>
  <si>
    <t>Holandsko</t>
  </si>
  <si>
    <t>Netherlands</t>
  </si>
  <si>
    <t>Rumunsko</t>
  </si>
  <si>
    <t>Romania</t>
  </si>
  <si>
    <t>Srbsko</t>
  </si>
  <si>
    <t>Serbia</t>
  </si>
  <si>
    <t>Slovinsko</t>
  </si>
  <si>
    <t>Slovenia</t>
  </si>
  <si>
    <t xml:space="preserve">Zvolená země: </t>
  </si>
  <si>
    <t xml:space="preserve">Zvolený štát: </t>
  </si>
  <si>
    <t xml:space="preserve">Selected Country: </t>
  </si>
  <si>
    <t xml:space="preserve">Automaticky zvolená země: </t>
  </si>
  <si>
    <t xml:space="preserve">Automaticky zvolený štát: </t>
  </si>
  <si>
    <t xml:space="preserve">Automatically selected country: </t>
  </si>
  <si>
    <t>Množství vyrobené pitné vody</t>
  </si>
  <si>
    <t>Množství prodané pitné vody</t>
  </si>
  <si>
    <t>Množstvo vyrobenej pitnej vody</t>
  </si>
  <si>
    <t>Množstvo predanej pitnej vody</t>
  </si>
  <si>
    <t>Quantity of drinking water produced</t>
  </si>
  <si>
    <t>Quantity of drinking water sold</t>
  </si>
  <si>
    <t>Kromě promítnutí adaptační strategie do dokumentů je promítnuta i do organizační struktury a organizačního řádu samosprávy (město/městská část/obec má vytvořenou pozici pro koordinaci / implementaci, resp. je tato úloha začleněna do pracovní náplně / -í jiných relevantních pozic).</t>
  </si>
  <si>
    <t>Kromě bodů 4 (D), 3 (C) a 2 (B) má město/městská část/obec vypracovaný a realizovaný prováděcí mechanismus na monitoring, hodnocení a aktualizaci adaptační strategie města/městské části/obce (včetně systematického sběru dat).</t>
  </si>
  <si>
    <t>Město/městská část/obec má zpracovanou komplexní adaptační strategii / plán, resp. SECAP (pokud je město/městská část/obec zapojeno do Paktu starostů a primátorů).</t>
  </si>
  <si>
    <t>Město/městská část/obec v oblasti adaptace na nepříznivé projevy změny klimatu nerealizuje žádné systematické aktivity a / nebo město/městská část/obec má téma adaptace na nepříznivé projevy změny klimatu (resp. vybrané cíle či konkrétní opatření) bez podrobné analýzy rozpracovanou / zahrnutou / zmíněnou jako součást v Programu hospodářského rozvoje a sociálního rozvoje (PHSR) a / nebo Územním plánu (ÚPN)</t>
  </si>
  <si>
    <t>Mesto/obec nerealizuje žiadne systematické aktivity v oblasti adaptácie na nepriaznivé dôsledky zmeny klímy a/alebo mesto/obec má tému adaptácie na nepriaznivé dôsledky zmeny klímy (resp. vybrané ciele alebo konkrétne opatrenia) spracovanú/začlenenú/uvedenú ako súčasť Programu hospodárskeho a sociálneho rozvoja (PHSR) a/alebo Územného plánu (ÚPN) bez podrobnejšej analýzy</t>
  </si>
  <si>
    <t>Okrem toho, že sa adaptačná stratégia odráža v dokumentoch, premieta sa aj do organizačnej štruktúry a organizačného poriadku miestnej samosprávy (mesto/obec/obec vytvorilo pozíciu pre koordináciu/implementáciu alebo je táto úloha začlenená do náplne práce iných relevantných pozícií).</t>
  </si>
  <si>
    <t>Okrem bodov 4 (D), 3 (C) a 2 (B) mesto/obec vypracovalo a zaviedlo vykonávací mechanizmus na monitorovanie, hodnotenie a aktualizáciu adaptačnej stratégie mesta/obce (vrátane systematického zberu údajov).</t>
  </si>
  <si>
    <t>In addition to being reflected in the documents, the adaptation strategy is also reflected in the organisational structure and organisational rules of the local government (the city/municipality has created a position for coordination/implementation or this role is integrated into the job description(s) of other relevant positions).</t>
  </si>
  <si>
    <t>Do žlutého pole zadejte produkci BRKO v tunách</t>
  </si>
  <si>
    <t>Enter in the yellow box the production of MSW in tonnes</t>
  </si>
  <si>
    <t>Do žltého políčka uveďte produkciu BRKO v tonách</t>
  </si>
  <si>
    <t>Do žlutého pole zadejte produkci odpadních vod v tunách nebo m³</t>
  </si>
  <si>
    <t>Enter the wastewater production in tonnes or m³ in the yellow field</t>
  </si>
  <si>
    <t>Do žltého poľa zadajte produkciu odpadových vôd v tonách alebo m³</t>
  </si>
  <si>
    <t>Do žlutého pole zadejte produkci nebezpečného odpadu v tunách</t>
  </si>
  <si>
    <t>Enter hazardous waste production in tonnes in the yellow box</t>
  </si>
  <si>
    <t xml:space="preserve">Do žltého poľa zadajte produkciu nebezpečného odpadu v tonách
</t>
  </si>
  <si>
    <t>Do žlutého pole zadejte množství spalovaného komunálního odpadu v tunách</t>
  </si>
  <si>
    <t>Enter the quantity of municipal waste incinerated in tonnes in the yellow box</t>
  </si>
  <si>
    <t>Do žltého políčka uveďte množstvo spáleného komunálneho odpadu v tonách</t>
  </si>
  <si>
    <t>Do žlutého pole zadejte množství skládkovaného komunálního odpadu v tunách</t>
  </si>
  <si>
    <t>Do žltého políčka uveďte množstvo skládkovaného komunálneho odpadu v tonách</t>
  </si>
  <si>
    <t>Enter the quantity of municipal waste landfilled in tonnes in the yellow box</t>
  </si>
  <si>
    <t>Do žlutého pole zadejte výkon letecké dopravy v osobokilometrech</t>
  </si>
  <si>
    <t>Enter air transport performance in passenger-kilometres in the yellow box</t>
  </si>
  <si>
    <t>Do žltého poľa zadajte výkony leteckej dopravy v osobokilometroch</t>
  </si>
  <si>
    <t>Do žlutého pole zadejte výkon osobní autobusové a trolejbusové dopravy v osobokilometrech</t>
  </si>
  <si>
    <t>Do žltého poľa uveďte výkony osobnej autobusovej a trolejbusovej dopravy v osobokilometroch</t>
  </si>
  <si>
    <t>Enter in the yellow box the performance of passenger bus and trolleybus transport in passenger-kilometres</t>
  </si>
  <si>
    <t>Do žlutého pole zadejte výkon kolejové dopravy v osobokilometrech</t>
  </si>
  <si>
    <t>Enter rail transport performance in passenger-kilometres in the yellow box</t>
  </si>
  <si>
    <t>Do žltého poľa zadajte výkony železničnej dopravy v osobokilometroch</t>
  </si>
  <si>
    <t>Do žlutého pole zadejte spotřebu dalších fosilních paliv v kWh</t>
  </si>
  <si>
    <t>Do žltého políčka zadajte spotrebu ostatných fosílnych palív v kWh</t>
  </si>
  <si>
    <t>Enter the consumption of other fossil fuels in kWh in the yellow box</t>
  </si>
  <si>
    <t>Do žlutého pole zadejte spotřebu uhlí v kWh</t>
  </si>
  <si>
    <t>Enter the coal consumption in kWh in the yellow box</t>
  </si>
  <si>
    <t>Do žltého poľa zadajte spotrebu uhlia v kWh</t>
  </si>
  <si>
    <t>Do žlutého pole zadejte výkon individuální automobilové dopravy v osobokilometrech</t>
  </si>
  <si>
    <t>Do žltého poľa zadajte výkon individuálnej automobilovej dopravy v osobokilometroch</t>
  </si>
  <si>
    <t>Enter the output of individual car transport in passenger-kilometres in the yellow box</t>
  </si>
  <si>
    <t>Do žlutého pole zadejte spotřebu zemního plynu v kWh</t>
  </si>
  <si>
    <t>Do žltého poľa zadajte spotrebu zemného plynu v kWh</t>
  </si>
  <si>
    <t>Enter the natural gas consumption in kWh in the yellow field</t>
  </si>
  <si>
    <t>Do žlutého pole zadejte spotřebu elektřiny v kWh</t>
  </si>
  <si>
    <t>Enter the electricity consumption in kWh in the yellow box</t>
  </si>
  <si>
    <t>Do žltého poľa zadajte spotrebu elektrickej energie v kWh</t>
  </si>
  <si>
    <t>List indikátoru</t>
  </si>
  <si>
    <t>List indikátora</t>
  </si>
  <si>
    <t>Rozloha plochy území změněné na zelenou infrastrukturu</t>
  </si>
  <si>
    <t>Rozloha plochy územia zmeneného na zelenou infraštruktúru</t>
  </si>
  <si>
    <t>Area of the territory changed to green infrastructure</t>
  </si>
  <si>
    <t>Zelená infrastrutkura (m²/tis.obyv.)</t>
  </si>
  <si>
    <t>Zelená infraštrutkúra (m²/tis.obyv.)</t>
  </si>
  <si>
    <t>Green infrastructure (m²/thous. inhab.)</t>
  </si>
  <si>
    <t>Green infrastructure in m²</t>
  </si>
  <si>
    <t>Zelená infraštrutkúra v m²</t>
  </si>
  <si>
    <t>Zelená infrastuktura v m²</t>
  </si>
  <si>
    <t>MWh</t>
  </si>
  <si>
    <t>X</t>
  </si>
  <si>
    <t>oskm</t>
  </si>
  <si>
    <t>pkm</t>
  </si>
  <si>
    <t>t</t>
  </si>
  <si>
    <t>m³</t>
  </si>
  <si>
    <t>Jednotka</t>
  </si>
  <si>
    <t>Unit</t>
  </si>
  <si>
    <t>M-MIT</t>
  </si>
  <si>
    <t>Hodnota</t>
  </si>
  <si>
    <t>Value</t>
  </si>
  <si>
    <t>Promítnutí adaptační strategie/ akčního plánu do strategického plánu/PHSR</t>
  </si>
  <si>
    <t>Systematický sběr dat (vliv/stav/odezva) a jejich aktualizace - relevance pro adaptace/hodnocení zranitelnosti.</t>
  </si>
  <si>
    <t xml:space="preserve">Existence adaptačního plánu/strategie (klimatologické posouzení, hodnocení zranitelnosti, stanovení cílů, stanovení aktivit, akční plán, schválení vedením samosprávy)
</t>
  </si>
  <si>
    <t xml:space="preserve">Promítnutí adaptací do organizační struktury samosprávy (pozice pro koordinaci/implementaci)
</t>
  </si>
  <si>
    <t xml:space="preserve">Odborná kapacita (odborná pracovní skupina, dohody s externími odborníky, memoranda a dohody s odbornými institucemi, prokazatelná spolupráce s odborníky) pro adaptaci
</t>
  </si>
  <si>
    <t>Existencia adaptačného plánu/stratégie (klimatologické posúdenie, posúdenie zraniteľnosti, stanovenie cieľov, vymedzenie činností, akčný plán, schválenie vedením obce)</t>
  </si>
  <si>
    <t>Začlenenie adaptačnej stratégie/akčného plánu do strategického plánu/PHSR</t>
  </si>
  <si>
    <t>Integrácia adaptácie do organizačnej štruktúry miestnej samosprávy (koordinačné/implementačné pozície)</t>
  </si>
  <si>
    <t>Odborná kapacita (pracovná skupina expertov, dohody s externými expertmi, memorandá a dohody s odbornými inštitúciami, preukázateľná spolupráca s expertmi) na prispôsobenie sa</t>
  </si>
  <si>
    <t>Systematický zber údajov (vplyv/stav/reakcia) a ich aktualizácia - význam pre hodnotenie adaptácie/zraniteľnosti.</t>
  </si>
  <si>
    <t>Existence of an adaptation plan/strategy (climatological assessment, vulnerability assessment, setting of objectives, definition of activities, action plan, approval by municipal management)</t>
  </si>
  <si>
    <t>Integration of adaptation strategy/action plan into strategic plan/PHSR</t>
  </si>
  <si>
    <t>Integration of adaptation into the organisational structure of the local government (coordination/implementation positions)</t>
  </si>
  <si>
    <t>Expert capacity (expert working group, agreements with external experts, memoranda and agreements with expert institutions, demonstrable cooperation with experts) for adaptation</t>
  </si>
  <si>
    <t>Systematic data collection (impact/state/response) and updating - relevance for adaptation/vulnerability assessment.</t>
  </si>
  <si>
    <t>Do žlutého pole zadejte plochu ZI v m²</t>
  </si>
  <si>
    <t>Do žltého poľa zadajte plochu ZI v m2</t>
  </si>
  <si>
    <t>Enter the area of GI in m² in the yellow field</t>
  </si>
  <si>
    <t>Vypočtená plocha ZI m²/tis. obyv. (můžete přepsat do buňky B4)</t>
  </si>
  <si>
    <t>Vypočítaná plocha ZI m2/tis. obyv. (môžete prepísať do bunky B4)</t>
  </si>
  <si>
    <t>Calculated area of GI m²/ thous. inhab. (you can overwrite in cell B4)</t>
  </si>
  <si>
    <t>Zadejte počet akcí</t>
  </si>
  <si>
    <t>Enter the number of actions</t>
  </si>
  <si>
    <t>Zadajte počet akcií</t>
  </si>
  <si>
    <t>Zadejte nejprve hodnotu obyvatel (M-POP1)</t>
  </si>
  <si>
    <t>Zadajte najprv hodnotu obyvateľov (M-POP1)</t>
  </si>
  <si>
    <t>/Enter first the population value (M-POP1)</t>
  </si>
  <si>
    <t>Počet akcí na 10 tis. obyv</t>
  </si>
  <si>
    <t>Počet podujatí na 10 tisíc obyvateľov</t>
  </si>
  <si>
    <t>Number of events per 10 thousand inhabitants</t>
  </si>
  <si>
    <t>Počet obyvatel připojených na veřejný vodovod</t>
  </si>
  <si>
    <t>Počet obyvateľov pripojených na verejný vodovod</t>
  </si>
  <si>
    <t>Number of inhabitants connected to the public water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</si>
</sst>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000"/>
  </numFmts>
  <fonts count="28"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color theme="1"/>
      <name val="Calibri"/>
      <family val="2"/>
      <charset val="238"/>
      <scheme val="minor"/>
    </font>
    <font>
      <sz val="11"/>
      <color rgb="FF006100"/>
      <name val="Calibri"/>
      <family val="2"/>
      <charset val="238"/>
      <scheme val="minor"/>
    </font>
    <font>
      <sz val="11"/>
      <color rgb="FFFF0000"/>
      <name val="Calibri"/>
      <family val="2"/>
      <charset val="238"/>
      <scheme val="minor"/>
    </font>
    <font>
      <b/>
      <sz val="11"/>
      <color rgb="FFFF0000"/>
      <name val="Calibri"/>
      <family val="2"/>
      <charset val="238"/>
      <scheme val="minor"/>
    </font>
    <font>
      <b/>
      <sz val="16"/>
      <color theme="1"/>
      <name val="Calibri"/>
      <family val="2"/>
      <charset val="238"/>
      <scheme val="minor"/>
    </font>
    <font>
      <b/>
      <sz val="18"/>
      <color theme="1"/>
      <name val="Calibri"/>
      <family val="2"/>
      <charset val="238"/>
      <scheme val="minor"/>
    </font>
    <font>
      <sz val="11"/>
      <color rgb="FF9C0006"/>
      <name val="Calibri"/>
      <family val="2"/>
      <charset val="238"/>
      <scheme val="minor"/>
    </font>
    <font>
      <b/>
      <i/>
      <sz val="11"/>
      <color theme="1"/>
      <name val="Calibri"/>
      <family val="2"/>
      <charset val="238"/>
      <scheme val="minor"/>
    </font>
    <font>
      <i/>
      <sz val="11"/>
      <color theme="1"/>
      <name val="Calibri"/>
      <family val="2"/>
      <charset val="238"/>
      <scheme val="minor"/>
    </font>
    <font>
      <b/>
      <i/>
      <sz val="11"/>
      <color rgb="FFFF0000"/>
      <name val="Calibri"/>
      <family val="2"/>
      <charset val="238"/>
      <scheme val="minor"/>
    </font>
    <font>
      <vertAlign val="subscript"/>
      <sz val="11"/>
      <color theme="1"/>
      <name val="Calibri"/>
      <family val="2"/>
      <charset val="238"/>
      <scheme val="minor"/>
    </font>
    <font>
      <sz val="11"/>
      <color rgb="FF14110C"/>
      <name val="Calibri"/>
      <family val="2"/>
      <charset val="238"/>
      <scheme val="minor"/>
    </font>
    <font>
      <sz val="11"/>
      <name val="Calibri"/>
      <family val="2"/>
      <charset val="238"/>
      <scheme val="minor"/>
    </font>
    <font>
      <sz val="11"/>
      <color theme="0"/>
      <name val="Calibri"/>
      <family val="2"/>
      <charset val="238"/>
      <scheme val="minor"/>
    </font>
    <font>
      <vertAlign val="subscript"/>
      <sz val="11"/>
      <color rgb="FF14110C"/>
      <name val="Calibri"/>
      <family val="2"/>
      <charset val="238"/>
      <scheme val="minor"/>
    </font>
    <font>
      <b/>
      <sz val="14"/>
      <color theme="1"/>
      <name val="Calibri"/>
      <family val="2"/>
      <charset val="238"/>
      <scheme val="minor"/>
    </font>
    <font>
      <b/>
      <sz val="14"/>
      <color rgb="FF006100"/>
      <name val="Calibri"/>
      <family val="2"/>
      <charset val="238"/>
      <scheme val="minor"/>
    </font>
    <font>
      <sz val="11"/>
      <color theme="1"/>
      <name val="Calibri"/>
      <family val="2"/>
      <charset val="238"/>
    </font>
    <font>
      <b/>
      <sz val="11"/>
      <name val="Calibri"/>
      <family val="2"/>
      <charset val="238"/>
      <scheme val="minor"/>
    </font>
    <font>
      <b/>
      <u/>
      <sz val="11"/>
      <color rgb="FFFF0000"/>
      <name val="Calibri"/>
      <family val="2"/>
      <charset val="238"/>
      <scheme val="minor"/>
    </font>
    <font>
      <b/>
      <sz val="11"/>
      <color rgb="FF111111"/>
      <name val="Arial"/>
      <family val="2"/>
      <charset val="238"/>
    </font>
    <font>
      <sz val="11"/>
      <color theme="1"/>
      <name val="Calibri"/>
      <family val="2"/>
      <scheme val="minor"/>
    </font>
    <font>
      <sz val="11"/>
      <color rgb="FF9C6500"/>
      <name val="Calibri"/>
      <family val="2"/>
      <charset val="238"/>
      <scheme val="minor"/>
    </font>
    <font>
      <sz val="12"/>
      <color theme="1"/>
      <name val="Verdana"/>
      <family val="2"/>
      <charset val="238"/>
    </font>
    <font>
      <sz val="12"/>
      <color rgb="FF14110C"/>
      <name val="Verdana"/>
      <family val="2"/>
      <charset val="238"/>
    </font>
  </fonts>
  <fills count="8">
    <fill>
      <patternFill patternType="none"/>
    </fill>
    <fill>
      <patternFill patternType="gray125"/>
    </fill>
    <fill>
      <patternFill patternType="solid">
        <fgColor rgb="FFC6EFCE"/>
      </patternFill>
    </fill>
    <fill>
      <patternFill patternType="solid">
        <fgColor rgb="FFFFFFCC"/>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rgb="FFB2B2B2"/>
      </left>
      <right style="thin">
        <color rgb="FFB2B2B2"/>
      </right>
      <top/>
      <bottom/>
      <diagonal/>
    </border>
    <border>
      <left/>
      <right style="thin">
        <color rgb="FFB2B2B2"/>
      </right>
      <top/>
      <bottom/>
      <diagonal/>
    </border>
    <border>
      <left style="thin">
        <color rgb="FFB2B2B2"/>
      </left>
      <right/>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2" fillId="0" borderId="0" applyNumberFormat="0" applyFill="0" applyBorder="0" applyAlignment="0" applyProtection="0"/>
    <xf numFmtId="0" fontId="4" fillId="2" borderId="0" applyNumberFormat="0" applyBorder="0" applyAlignment="0" applyProtection="0"/>
    <xf numFmtId="0" fontId="3" fillId="3" borderId="1" applyNumberFormat="0" applyFont="0" applyAlignment="0" applyProtection="0"/>
    <xf numFmtId="0" fontId="9" fillId="4" borderId="0" applyNumberFormat="0" applyBorder="0" applyAlignment="0" applyProtection="0"/>
    <xf numFmtId="9" fontId="3" fillId="0" borderId="0" applyFont="0" applyFill="0" applyBorder="0" applyAlignment="0" applyProtection="0"/>
    <xf numFmtId="0" fontId="24" fillId="0" borderId="0"/>
    <xf numFmtId="0" fontId="25" fillId="7" borderId="0" applyNumberFormat="0" applyBorder="0" applyAlignment="0" applyProtection="0"/>
  </cellStyleXfs>
  <cellXfs count="153">
    <xf numFmtId="0" fontId="0" fillId="0" borderId="0" xfId="0"/>
    <xf numFmtId="0" fontId="0" fillId="0" borderId="0" xfId="0" applyAlignment="1"/>
    <xf numFmtId="0" fontId="0" fillId="0" borderId="0" xfId="0" applyAlignment="1">
      <alignment wrapText="1"/>
    </xf>
    <xf numFmtId="0" fontId="0" fillId="0" borderId="2" xfId="0" applyBorder="1"/>
    <xf numFmtId="10" fontId="0" fillId="0" borderId="2" xfId="0" applyNumberFormat="1" applyBorder="1"/>
    <xf numFmtId="0" fontId="0" fillId="0" borderId="2" xfId="0" applyBorder="1" applyAlignment="1">
      <alignment vertical="top" wrapText="1"/>
    </xf>
    <xf numFmtId="0" fontId="0" fillId="0" borderId="2" xfId="0" applyBorder="1" applyAlignment="1"/>
    <xf numFmtId="0" fontId="0" fillId="0" borderId="2" xfId="0" quotePrefix="1" applyBorder="1"/>
    <xf numFmtId="0" fontId="1" fillId="0" borderId="2" xfId="0" applyFont="1" applyBorder="1" applyAlignment="1"/>
    <xf numFmtId="0" fontId="1" fillId="0" borderId="2" xfId="0" applyFont="1" applyBorder="1"/>
    <xf numFmtId="0" fontId="4" fillId="0" borderId="0" xfId="2" applyFill="1" applyBorder="1"/>
    <xf numFmtId="0" fontId="0" fillId="3" borderId="1" xfId="3" applyFont="1"/>
    <xf numFmtId="0" fontId="0" fillId="0" borderId="0" xfId="0" applyBorder="1" applyAlignment="1"/>
    <xf numFmtId="0" fontId="1" fillId="0" borderId="0" xfId="0" applyFont="1" applyFill="1" applyBorder="1" applyAlignment="1"/>
    <xf numFmtId="0" fontId="11" fillId="0" borderId="0" xfId="0" applyFont="1" applyAlignment="1"/>
    <xf numFmtId="0" fontId="0" fillId="0" borderId="4" xfId="0" applyBorder="1" applyAlignment="1"/>
    <xf numFmtId="10" fontId="1" fillId="0" borderId="5" xfId="0" applyNumberFormat="1" applyFont="1" applyBorder="1"/>
    <xf numFmtId="10" fontId="1" fillId="0" borderId="2" xfId="0" applyNumberFormat="1" applyFont="1" applyBorder="1"/>
    <xf numFmtId="0" fontId="12" fillId="0" borderId="0" xfId="0" applyFont="1" applyAlignment="1"/>
    <xf numFmtId="0" fontId="5" fillId="0" borderId="0" xfId="0" applyFont="1" applyAlignment="1"/>
    <xf numFmtId="2" fontId="1" fillId="0" borderId="5" xfId="0" applyNumberFormat="1" applyFont="1" applyBorder="1"/>
    <xf numFmtId="0" fontId="0" fillId="0" borderId="4" xfId="0" applyBorder="1" applyAlignment="1">
      <alignment vertical="top" wrapText="1"/>
    </xf>
    <xf numFmtId="2" fontId="1" fillId="0" borderId="5" xfId="0" applyNumberFormat="1" applyFont="1" applyBorder="1" applyAlignment="1">
      <alignment vertical="top"/>
    </xf>
    <xf numFmtId="0" fontId="0" fillId="0" borderId="2" xfId="0" applyBorder="1" applyAlignment="1">
      <alignment wrapText="1"/>
    </xf>
    <xf numFmtId="0" fontId="3" fillId="0" borderId="2" xfId="2" applyNumberFormat="1" applyFont="1" applyFill="1" applyBorder="1" applyAlignment="1"/>
    <xf numFmtId="0" fontId="6" fillId="0" borderId="0" xfId="0" applyFont="1" applyAlignment="1"/>
    <xf numFmtId="10" fontId="1" fillId="0" borderId="0" xfId="0" applyNumberFormat="1" applyFont="1"/>
    <xf numFmtId="0" fontId="12" fillId="0" borderId="0" xfId="0" applyFont="1"/>
    <xf numFmtId="165" fontId="1" fillId="0" borderId="5" xfId="0" applyNumberFormat="1" applyFont="1" applyBorder="1" applyAlignment="1">
      <alignment vertical="top"/>
    </xf>
    <xf numFmtId="10" fontId="1" fillId="0" borderId="5" xfId="0" applyNumberFormat="1" applyFont="1" applyBorder="1" applyAlignment="1">
      <alignment vertical="top"/>
    </xf>
    <xf numFmtId="0" fontId="0" fillId="0" borderId="4" xfId="0" applyBorder="1" applyAlignment="1">
      <alignment wrapText="1"/>
    </xf>
    <xf numFmtId="4" fontId="1" fillId="0" borderId="5" xfId="0" applyNumberFormat="1" applyFont="1" applyBorder="1"/>
    <xf numFmtId="10" fontId="4" fillId="5" borderId="0" xfId="2" applyNumberFormat="1" applyFill="1" applyBorder="1" applyAlignment="1"/>
    <xf numFmtId="0" fontId="0" fillId="0" borderId="0" xfId="0" applyAlignment="1">
      <alignment vertical="center"/>
    </xf>
    <xf numFmtId="0" fontId="1" fillId="0" borderId="2" xfId="0" applyFont="1" applyBorder="1" applyAlignment="1">
      <alignment vertical="center"/>
    </xf>
    <xf numFmtId="0" fontId="14" fillId="0" borderId="2" xfId="0" applyFont="1" applyFill="1" applyBorder="1" applyAlignment="1">
      <alignment vertical="center" wrapText="1"/>
    </xf>
    <xf numFmtId="0" fontId="0" fillId="5" borderId="2" xfId="4" applyFont="1" applyFill="1" applyBorder="1" applyAlignment="1">
      <alignment vertical="center" wrapText="1"/>
    </xf>
    <xf numFmtId="0" fontId="0" fillId="0" borderId="2" xfId="0" applyFont="1" applyFill="1" applyBorder="1" applyAlignment="1">
      <alignment vertical="center" wrapText="1"/>
    </xf>
    <xf numFmtId="0" fontId="15" fillId="0" borderId="2" xfId="0" applyFont="1" applyFill="1" applyBorder="1" applyAlignment="1">
      <alignment vertical="center" wrapText="1"/>
    </xf>
    <xf numFmtId="0" fontId="0" fillId="0" borderId="2" xfId="0" applyFont="1" applyBorder="1" applyAlignment="1">
      <alignment vertical="center" wrapText="1"/>
    </xf>
    <xf numFmtId="0" fontId="2" fillId="0" borderId="2" xfId="1" applyBorder="1" applyAlignment="1">
      <alignment vertical="center" wrapText="1"/>
    </xf>
    <xf numFmtId="0" fontId="0" fillId="0" borderId="2" xfId="0" applyBorder="1" applyAlignment="1">
      <alignment horizontal="center" vertical="center"/>
    </xf>
    <xf numFmtId="0" fontId="7" fillId="0" borderId="0" xfId="0" applyFont="1" applyAlignment="1">
      <alignment vertical="top" wrapText="1"/>
    </xf>
    <xf numFmtId="0" fontId="7" fillId="0" borderId="0" xfId="0" applyFont="1" applyAlignment="1">
      <alignment wrapText="1"/>
    </xf>
    <xf numFmtId="0" fontId="10" fillId="0" borderId="0" xfId="0" applyFont="1" applyAlignment="1">
      <alignment wrapText="1"/>
    </xf>
    <xf numFmtId="164" fontId="0" fillId="3" borderId="1" xfId="3" applyNumberFormat="1" applyFont="1" applyAlignment="1">
      <alignment horizontal="center" vertical="center"/>
    </xf>
    <xf numFmtId="0" fontId="11" fillId="0" borderId="0" xfId="0" applyFont="1" applyAlignment="1">
      <alignment wrapText="1"/>
    </xf>
    <xf numFmtId="0" fontId="1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0" fillId="0" borderId="2" xfId="0" applyFont="1" applyBorder="1" applyAlignment="1"/>
    <xf numFmtId="0" fontId="0" fillId="0" borderId="0" xfId="0" applyFont="1" applyAlignment="1">
      <alignment vertical="top"/>
    </xf>
    <xf numFmtId="0" fontId="0" fillId="0" borderId="0" xfId="0" applyFont="1" applyAlignment="1"/>
    <xf numFmtId="0" fontId="5" fillId="0" borderId="0" xfId="0" applyFont="1"/>
    <xf numFmtId="0" fontId="5" fillId="0" borderId="0" xfId="0" applyFont="1" applyAlignment="1">
      <alignment vertical="top" wrapText="1"/>
    </xf>
    <xf numFmtId="0" fontId="15" fillId="0" borderId="0" xfId="0" applyFont="1"/>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0" xfId="0" applyFont="1" applyAlignment="1">
      <alignment vertical="top" wrapText="1"/>
    </xf>
    <xf numFmtId="0" fontId="0" fillId="0" borderId="0" xfId="0" applyFont="1"/>
    <xf numFmtId="0" fontId="0" fillId="0" borderId="0" xfId="0" applyAlignment="1">
      <alignment horizontal="center" vertical="center"/>
    </xf>
    <xf numFmtId="0" fontId="0" fillId="0" borderId="3" xfId="0" applyBorder="1" applyAlignment="1">
      <alignment horizontal="center" vertical="center"/>
    </xf>
    <xf numFmtId="166" fontId="0" fillId="0" borderId="3" xfId="0" applyNumberFormat="1" applyBorder="1" applyAlignment="1">
      <alignment horizontal="center" vertical="center"/>
    </xf>
    <xf numFmtId="10" fontId="0" fillId="0" borderId="3" xfId="0" applyNumberFormat="1" applyBorder="1" applyAlignment="1">
      <alignment horizontal="center" vertical="center"/>
    </xf>
    <xf numFmtId="0" fontId="0" fillId="0" borderId="3" xfId="0" applyFont="1" applyBorder="1" applyAlignment="1">
      <alignment horizontal="center" vertical="center"/>
    </xf>
    <xf numFmtId="10" fontId="0" fillId="0" borderId="3"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left" vertical="center" wrapText="1"/>
    </xf>
    <xf numFmtId="0" fontId="18" fillId="0" borderId="4" xfId="0" applyFont="1" applyBorder="1"/>
    <xf numFmtId="0" fontId="14" fillId="0" borderId="2" xfId="0" applyFont="1" applyFill="1" applyBorder="1" applyAlignment="1">
      <alignment vertical="center"/>
    </xf>
    <xf numFmtId="0" fontId="0" fillId="5" borderId="2" xfId="4" applyFont="1" applyFill="1" applyBorder="1" applyAlignment="1">
      <alignment vertical="center"/>
    </xf>
    <xf numFmtId="0" fontId="0" fillId="0" borderId="2" xfId="0" applyFont="1" applyBorder="1" applyAlignment="1">
      <alignment vertical="center"/>
    </xf>
    <xf numFmtId="0" fontId="1" fillId="0" borderId="0" xfId="0" applyFont="1" applyAlignment="1"/>
    <xf numFmtId="0" fontId="0" fillId="0" borderId="2" xfId="0" applyFont="1" applyFill="1" applyBorder="1" applyAlignment="1">
      <alignment vertical="center"/>
    </xf>
    <xf numFmtId="0" fontId="15" fillId="0" borderId="2" xfId="0" applyFont="1" applyFill="1" applyBorder="1" applyAlignment="1">
      <alignment vertical="center"/>
    </xf>
    <xf numFmtId="0" fontId="0" fillId="0" borderId="0" xfId="0" applyFill="1" applyBorder="1" applyAlignment="1"/>
    <xf numFmtId="0" fontId="0" fillId="3" borderId="1" xfId="3" applyFont="1" applyAlignment="1">
      <alignment vertical="center"/>
    </xf>
    <xf numFmtId="0" fontId="0" fillId="3" borderId="1" xfId="3" applyFont="1" applyAlignment="1"/>
    <xf numFmtId="0" fontId="2" fillId="0" borderId="2" xfId="1" applyFill="1" applyBorder="1" applyAlignment="1">
      <alignment vertical="center"/>
    </xf>
    <xf numFmtId="0" fontId="2" fillId="5" borderId="2" xfId="1" applyFill="1" applyBorder="1" applyAlignment="1">
      <alignment vertical="top"/>
    </xf>
    <xf numFmtId="0" fontId="0" fillId="3" borderId="7" xfId="3" applyFont="1" applyBorder="1" applyAlignment="1">
      <alignment vertical="center"/>
    </xf>
    <xf numFmtId="0" fontId="0" fillId="3" borderId="7" xfId="3" applyFont="1" applyBorder="1" applyAlignment="1"/>
    <xf numFmtId="0" fontId="0" fillId="3" borderId="8" xfId="3" applyFont="1" applyBorder="1"/>
    <xf numFmtId="0" fontId="0" fillId="3" borderId="9" xfId="3" applyFont="1" applyBorder="1" applyAlignment="1"/>
    <xf numFmtId="0" fontId="0" fillId="3" borderId="8" xfId="3" applyFont="1" applyBorder="1" applyAlignment="1"/>
    <xf numFmtId="0" fontId="0" fillId="3" borderId="0" xfId="3" applyFont="1" applyBorder="1" applyAlignment="1">
      <alignment vertical="center"/>
    </xf>
    <xf numFmtId="0" fontId="20" fillId="0" borderId="0" xfId="0" applyFont="1" applyAlignment="1"/>
    <xf numFmtId="0" fontId="21" fillId="6" borderId="0" xfId="1" applyFont="1" applyFill="1" applyBorder="1" applyAlignment="1">
      <alignment vertical="center"/>
    </xf>
    <xf numFmtId="0" fontId="1" fillId="0" borderId="2" xfId="0" applyFont="1" applyBorder="1" applyAlignment="1">
      <alignment vertical="center" wrapText="1"/>
    </xf>
    <xf numFmtId="0" fontId="0" fillId="3" borderId="0" xfId="3" applyFont="1" applyBorder="1" applyAlignment="1"/>
    <xf numFmtId="0" fontId="2" fillId="0" borderId="2" xfId="1" applyBorder="1" applyAlignment="1"/>
    <xf numFmtId="3" fontId="0" fillId="0" borderId="0" xfId="0" applyNumberFormat="1"/>
    <xf numFmtId="0" fontId="0" fillId="0" borderId="0" xfId="0" quotePrefix="1" applyAlignment="1"/>
    <xf numFmtId="0" fontId="2" fillId="0" borderId="0" xfId="1" applyAlignment="1"/>
    <xf numFmtId="0" fontId="2" fillId="0" borderId="0" xfId="1" applyAlignment="1">
      <alignment wrapText="1"/>
    </xf>
    <xf numFmtId="0" fontId="1" fillId="6" borderId="0" xfId="0" applyFont="1" applyFill="1" applyAlignment="1">
      <alignment vertical="center"/>
    </xf>
    <xf numFmtId="0" fontId="1" fillId="6" borderId="0" xfId="0" applyFont="1" applyFill="1" applyAlignment="1">
      <alignment horizontal="left" vertical="center"/>
    </xf>
    <xf numFmtId="0" fontId="0" fillId="0" borderId="10" xfId="0" applyFill="1" applyBorder="1" applyAlignment="1">
      <alignment vertical="top" wrapText="1"/>
    </xf>
    <xf numFmtId="0" fontId="5"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0" fillId="0" borderId="0" xfId="0" applyAlignment="1">
      <alignment horizontal="right"/>
    </xf>
    <xf numFmtId="10" fontId="1" fillId="0" borderId="5" xfId="0" applyNumberFormat="1" applyFont="1" applyBorder="1" applyAlignment="1">
      <alignment horizontal="right" vertical="top"/>
    </xf>
    <xf numFmtId="0" fontId="22" fillId="0" borderId="0" xfId="1" applyFont="1" applyAlignment="1"/>
    <xf numFmtId="0" fontId="0" fillId="0" borderId="0" xfId="0" applyBorder="1" applyAlignment="1">
      <alignment vertical="top" wrapText="1"/>
    </xf>
    <xf numFmtId="0" fontId="0" fillId="0" borderId="2" xfId="0" applyBorder="1" applyAlignment="1">
      <alignment vertical="top"/>
    </xf>
    <xf numFmtId="0" fontId="23" fillId="0" borderId="0" xfId="0" applyFont="1"/>
    <xf numFmtId="0" fontId="1" fillId="0" borderId="0" xfId="0" applyFont="1"/>
    <xf numFmtId="0" fontId="2" fillId="0" borderId="2" xfId="1" applyBorder="1" applyAlignment="1">
      <alignment horizontal="center"/>
    </xf>
    <xf numFmtId="0" fontId="2" fillId="0" borderId="2" xfId="1" applyBorder="1" applyAlignment="1">
      <alignment horizontal="center" vertical="top"/>
    </xf>
    <xf numFmtId="0" fontId="7" fillId="0" borderId="0" xfId="0" applyFont="1" applyAlignment="1">
      <alignment vertical="top"/>
    </xf>
    <xf numFmtId="0" fontId="27" fillId="0" borderId="0" xfId="0" applyFont="1" applyAlignment="1">
      <alignment vertical="center" wrapText="1"/>
    </xf>
    <xf numFmtId="0" fontId="0" fillId="0" borderId="0" xfId="0" applyBorder="1" applyAlignment="1">
      <alignment vertical="top"/>
    </xf>
    <xf numFmtId="0" fontId="0" fillId="0" borderId="1" xfId="3" applyFont="1" applyFill="1" applyAlignment="1">
      <alignment wrapText="1"/>
    </xf>
    <xf numFmtId="0" fontId="26" fillId="0" borderId="0" xfId="0" applyFont="1" applyFill="1" applyAlignment="1">
      <alignment vertical="center" wrapText="1"/>
    </xf>
    <xf numFmtId="0" fontId="0" fillId="0" borderId="0" xfId="0" applyFill="1"/>
    <xf numFmtId="0" fontId="27" fillId="0" borderId="0" xfId="0" applyFont="1" applyFill="1" applyAlignment="1">
      <alignment vertical="center" wrapText="1"/>
    </xf>
    <xf numFmtId="0" fontId="25" fillId="0" borderId="0" xfId="7" applyFill="1"/>
    <xf numFmtId="10" fontId="1" fillId="0" borderId="11" xfId="0" applyNumberFormat="1" applyFont="1" applyBorder="1" applyAlignment="1">
      <alignment horizontal="right"/>
    </xf>
    <xf numFmtId="0" fontId="8" fillId="0" borderId="6" xfId="0" applyFont="1" applyBorder="1" applyAlignment="1">
      <alignment horizontal="left" vertical="center" wrapText="1"/>
    </xf>
    <xf numFmtId="0" fontId="0" fillId="0" borderId="0" xfId="0" applyAlignment="1">
      <alignment horizontal="left" vertical="top"/>
    </xf>
    <xf numFmtId="0" fontId="7" fillId="0" borderId="0" xfId="0" applyFont="1" applyAlignment="1">
      <alignment horizontal="left" vertical="top" wrapText="1"/>
    </xf>
    <xf numFmtId="0" fontId="0" fillId="0" borderId="0" xfId="0" applyAlignment="1">
      <alignment horizontal="left" vertical="top" wrapText="1"/>
    </xf>
    <xf numFmtId="0" fontId="19" fillId="2" borderId="5" xfId="2" applyFont="1" applyBorder="1" applyProtection="1">
      <protection locked="0"/>
    </xf>
    <xf numFmtId="0" fontId="4" fillId="2" borderId="2" xfId="2" applyBorder="1" applyAlignment="1" applyProtection="1">
      <alignment horizontal="center" vertical="center"/>
      <protection locked="0"/>
    </xf>
    <xf numFmtId="3" fontId="4" fillId="2" borderId="2" xfId="2" applyNumberFormat="1" applyBorder="1" applyAlignment="1" applyProtection="1">
      <alignment horizontal="center" vertical="center"/>
      <protection locked="0"/>
    </xf>
    <xf numFmtId="0" fontId="0" fillId="3" borderId="1" xfId="3" applyFont="1" applyAlignment="1" applyProtection="1">
      <alignment horizontal="center" vertical="center"/>
      <protection locked="0"/>
    </xf>
    <xf numFmtId="10" fontId="4" fillId="2" borderId="2" xfId="2" applyNumberFormat="1" applyBorder="1" applyAlignment="1" applyProtection="1">
      <alignment horizontal="center" vertical="center"/>
      <protection locked="0"/>
    </xf>
    <xf numFmtId="10" fontId="4" fillId="2" borderId="2" xfId="2" applyNumberFormat="1" applyBorder="1" applyAlignment="1" applyProtection="1">
      <alignment vertical="center"/>
      <protection locked="0"/>
    </xf>
    <xf numFmtId="10" fontId="4" fillId="2" borderId="2" xfId="2" applyNumberFormat="1" applyBorder="1" applyProtection="1">
      <protection locked="0"/>
    </xf>
    <xf numFmtId="0" fontId="0" fillId="3" borderId="1" xfId="3" applyFont="1" applyProtection="1">
      <protection locked="0"/>
    </xf>
    <xf numFmtId="4" fontId="4" fillId="2" borderId="2" xfId="2" applyNumberFormat="1" applyBorder="1" applyAlignment="1" applyProtection="1">
      <alignment horizontal="center" vertical="center"/>
      <protection locked="0"/>
    </xf>
    <xf numFmtId="3" fontId="0" fillId="3" borderId="1" xfId="3" applyNumberFormat="1" applyFont="1" applyAlignment="1" applyProtection="1">
      <alignment horizontal="center" vertical="center"/>
      <protection locked="0"/>
    </xf>
    <xf numFmtId="2" fontId="4" fillId="2" borderId="2" xfId="2" applyNumberFormat="1" applyBorder="1" applyProtection="1">
      <protection locked="0"/>
    </xf>
    <xf numFmtId="0" fontId="0" fillId="0" borderId="1" xfId="3" applyFont="1" applyFill="1" applyAlignment="1"/>
    <xf numFmtId="0" fontId="0" fillId="0" borderId="0" xfId="0" applyProtection="1">
      <protection locked="0"/>
    </xf>
    <xf numFmtId="10" fontId="4" fillId="2" borderId="2" xfId="2" applyNumberFormat="1" applyBorder="1" applyAlignment="1" applyProtection="1">
      <alignment horizontal="center" vertical="top" wrapText="1"/>
      <protection locked="0"/>
    </xf>
    <xf numFmtId="0" fontId="0" fillId="0" borderId="0" xfId="0" applyAlignment="1" applyProtection="1">
      <alignment vertical="top" wrapText="1"/>
      <protection locked="0"/>
    </xf>
    <xf numFmtId="2" fontId="4" fillId="2" borderId="2" xfId="2" applyNumberFormat="1" applyBorder="1" applyAlignment="1" applyProtection="1">
      <alignment horizontal="center" vertical="center"/>
      <protection locked="0"/>
    </xf>
    <xf numFmtId="0" fontId="0" fillId="0" borderId="0" xfId="0" applyFont="1" applyAlignment="1" applyProtection="1">
      <alignment vertical="top" wrapText="1"/>
      <protection locked="0"/>
    </xf>
    <xf numFmtId="0" fontId="0" fillId="3" borderId="1" xfId="3" applyFont="1" applyAlignment="1" applyProtection="1">
      <alignment horizontal="right" vertical="center"/>
      <protection locked="0"/>
    </xf>
    <xf numFmtId="1" fontId="0" fillId="3" borderId="1" xfId="3" applyNumberFormat="1" applyFont="1" applyAlignment="1" applyProtection="1">
      <alignment horizontal="right" vertical="center"/>
      <protection locked="0"/>
    </xf>
    <xf numFmtId="10" fontId="4" fillId="2" borderId="2" xfId="2" applyNumberFormat="1" applyBorder="1" applyAlignment="1" applyProtection="1">
      <alignment horizontal="center" vertical="center" wrapText="1"/>
      <protection locked="0"/>
    </xf>
    <xf numFmtId="10" fontId="4" fillId="3" borderId="2" xfId="3" applyNumberFormat="1" applyFont="1" applyBorder="1" applyAlignment="1" applyProtection="1">
      <alignment horizontal="center" vertical="center" wrapText="1"/>
      <protection locked="0"/>
    </xf>
    <xf numFmtId="9" fontId="4" fillId="2" borderId="2" xfId="5" applyFont="1" applyFill="1" applyBorder="1" applyAlignment="1" applyProtection="1">
      <alignment horizontal="right"/>
      <protection locked="0"/>
    </xf>
    <xf numFmtId="0" fontId="0" fillId="3" borderId="1" xfId="3" applyFont="1" applyAlignment="1" applyProtection="1">
      <alignment horizontal="center" vertical="top"/>
      <protection locked="0"/>
    </xf>
    <xf numFmtId="0" fontId="4" fillId="2" borderId="2" xfId="2" applyBorder="1" applyProtection="1">
      <protection locked="0"/>
    </xf>
    <xf numFmtId="1" fontId="4" fillId="2" borderId="2" xfId="2" applyNumberFormat="1" applyBorder="1" applyAlignment="1" applyProtection="1">
      <alignment horizontal="center" vertical="center"/>
      <protection locked="0"/>
    </xf>
    <xf numFmtId="3" fontId="4" fillId="2" borderId="2" xfId="2" applyNumberFormat="1" applyBorder="1" applyProtection="1">
      <protection locked="0"/>
    </xf>
    <xf numFmtId="0" fontId="0" fillId="0" borderId="0" xfId="0" applyFont="1" applyAlignment="1" applyProtection="1">
      <alignment vertical="top"/>
      <protection locked="0"/>
    </xf>
    <xf numFmtId="3" fontId="4" fillId="2" borderId="2" xfId="2" applyNumberFormat="1" applyBorder="1" applyAlignment="1" applyProtection="1">
      <alignment vertical="top" wrapText="1"/>
      <protection locked="0"/>
    </xf>
    <xf numFmtId="4" fontId="4" fillId="2" borderId="2" xfId="2" applyNumberFormat="1" applyBorder="1" applyProtection="1">
      <protection locked="0"/>
    </xf>
  </cellXfs>
  <cellStyles count="8">
    <cellStyle name="Hypertextový odkaz" xfId="1" builtinId="8"/>
    <cellStyle name="Neutrální" xfId="7" builtinId="28"/>
    <cellStyle name="Normální" xfId="0" builtinId="0"/>
    <cellStyle name="Normální 2" xfId="6"/>
    <cellStyle name="Poznámka" xfId="3" builtinId="10"/>
    <cellStyle name="Procenta" xfId="5" builtinId="5"/>
    <cellStyle name="Správně" xfId="2" builtinId="26"/>
    <cellStyle name="Špatně" xfId="4" builtinId="27"/>
  </cellStyles>
  <dxfs count="91">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ill>
        <patternFill>
          <bgColor rgb="FFFF0000"/>
        </patternFill>
      </fill>
    </dxf>
    <dxf>
      <fill>
        <patternFill>
          <bgColor rgb="FFFFC000"/>
        </patternFill>
      </fill>
    </dxf>
    <dxf>
      <fill>
        <patternFill>
          <bgColor theme="7" tint="0.79998168889431442"/>
        </patternFill>
      </fill>
    </dxf>
    <dxf>
      <fill>
        <patternFill>
          <bgColor theme="9" tint="0.59996337778862885"/>
        </patternFill>
      </fill>
    </dxf>
    <dxf>
      <fill>
        <patternFill>
          <bgColor theme="6" tint="0.39994506668294322"/>
        </patternFill>
      </fill>
    </dxf>
    <dxf>
      <font>
        <b/>
        <i val="0"/>
        <color rgb="FF00B050"/>
      </font>
    </dxf>
    <dxf>
      <font>
        <b/>
        <i val="0"/>
        <color rgb="FF00B050"/>
      </font>
    </dxf>
    <dxf>
      <font>
        <b/>
        <i val="0"/>
        <color rgb="FF00B050"/>
      </font>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klimasken.cz/sk/download/metodicky_list-POP1.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POP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5" Type="http://schemas.openxmlformats.org/officeDocument/2006/relationships/hyperlink" Target="https://www.klimasken.cz/en/download/metodicky_list-B-POP1.pdf" TargetMode="External"/><Relationship Id="rId4" Type="http://schemas.openxmlformats.org/officeDocument/2006/relationships/image" Target="../media/image2.png"/><Relationship Id="rId9" Type="http://schemas.openxmlformats.org/officeDocument/2006/relationships/hyperlink" Target="https://www.klimasken.cz/en/download/metodicky_list-POP1.pdf" TargetMode="External"/></Relationships>
</file>

<file path=xl/drawings/_rels/drawing10.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10.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10.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10.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1.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1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11.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1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2.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sk/download/metodicky_list-POP12.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cs/download/metodicky_list-POP12.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en/download/metodicky_list-M-POP12.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3.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1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1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1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4.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1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1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1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5.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1.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6.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2.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2.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2.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7.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8.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19.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5.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5.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5.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2.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2.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2.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0.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6.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6.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6.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1.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7.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7.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7.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2.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8.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8.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8.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3.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9.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9.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9.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4.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EXP10.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EXP10.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EXP10.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5.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sk/download/metodicky_list-AD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cs/download/metodicky_list-AD1.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en/download/metodicky_list-AD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6.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2.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B-AD2.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2.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7.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8.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29.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5.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5.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5.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0.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cs/download/metodicky_list-AD6.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sk/download/metodicky_list-AD6.pdf" TargetMode="External"/><Relationship Id="rId4" Type="http://schemas.openxmlformats.org/officeDocument/2006/relationships/image" Target="../media/image2.png"/><Relationship Id="rId9" Type="http://schemas.openxmlformats.org/officeDocument/2006/relationships/hyperlink" Target="https://www.klimasken.cz/en/download/metodicky_list-AD6.pdf" TargetMode="External"/></Relationships>
</file>

<file path=xl/drawings/_rels/drawing31.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7.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7.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7.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2.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8.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8.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8.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3.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9.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9.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9.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4.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cs/download/metodicky_list-AD10.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10.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en/download/metodicky_list-AD10.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5.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sk/download/metodicky_list-AD1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en/download/metodicky_list-AD11.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1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6.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12.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12.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12.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7.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1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1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1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8.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1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1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1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39.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15.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15.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15.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0.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AD16.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AD16.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AD16.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2.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sk/download/metodicky_list-GOV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cs/download/metodicky_list-GOV1.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en/download/metodicky_list-GOV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3.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https://www.klimasken.cz/sk/download/metodicky_list-GOV2.pdf" TargetMode="External"/><Relationship Id="rId3" Type="http://schemas.openxmlformats.org/officeDocument/2006/relationships/hyperlink" Target="https://www.klimasken.cz/cs/download/metodicky_list-B-POP1.pdf" TargetMode="External"/><Relationship Id="rId7" Type="http://schemas.openxmlformats.org/officeDocument/2006/relationships/hyperlink" Target="https://www.klimasken.cz/en/download/metodicky_list-B-POP1.pdf" TargetMode="External"/><Relationship Id="rId12" Type="http://schemas.openxmlformats.org/officeDocument/2006/relationships/hyperlink" Target="https://www.klimasken.cz/cs/download/metodicky_list-GOV2.pdf" TargetMode="External"/><Relationship Id="rId2" Type="http://schemas.openxmlformats.org/officeDocument/2006/relationships/hyperlink" Target="#'B-GOV2'!A1"/><Relationship Id="rId1" Type="http://schemas.openxmlformats.org/officeDocument/2006/relationships/hyperlink" Target="#'B-GOV3'!A1"/><Relationship Id="rId6" Type="http://schemas.openxmlformats.org/officeDocument/2006/relationships/image" Target="../media/image2.png"/><Relationship Id="rId11" Type="http://schemas.openxmlformats.org/officeDocument/2006/relationships/hyperlink" Target="https://www.klimasken.cz/en/download/metodicky_list-GOV16.pdf" TargetMode="External"/><Relationship Id="rId5" Type="http://schemas.openxmlformats.org/officeDocument/2006/relationships/hyperlink" Target="https://www.klimasken.cz/sk/download/metodicky_list-B-POP1.pdf" TargetMode="External"/><Relationship Id="rId10" Type="http://schemas.openxmlformats.org/officeDocument/2006/relationships/hyperlink" Target="https://www.klimasken.cz/sk/download/metodicky_list-GOV16.pdf" TargetMode="External"/><Relationship Id="rId4" Type="http://schemas.openxmlformats.org/officeDocument/2006/relationships/image" Target="../media/image1.png"/><Relationship Id="rId9" Type="http://schemas.openxmlformats.org/officeDocument/2006/relationships/hyperlink" Target="https://www.klimasken.cz/cs/download/metodicky_list-GOV16.pdf" TargetMode="External"/><Relationship Id="rId14" Type="http://schemas.openxmlformats.org/officeDocument/2006/relationships/hyperlink" Target="https://www.klimasken.cz/en/download/metodicky_list-GOV2.pdf" TargetMode="External"/></Relationships>
</file>

<file path=xl/drawings/_rels/drawing44.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B-GOV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B-GOV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B-GOV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5.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6.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5.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5.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5.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7.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6.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6.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6.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8.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7.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7.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7.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49.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8.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8.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8.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5.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5.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5.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0.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B-GOV9.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B-GOV9.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B-GOV9.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1.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10.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10.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10.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2.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11.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11.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1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3.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12.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12.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12.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4.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13.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13.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13.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5.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14.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14.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14.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6.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GOV15.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GOV15.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GOV15.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57.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5" Type="http://schemas.openxmlformats.org/officeDocument/2006/relationships/hyperlink" Target="https://www.klimasken.cz/en/download/metodicky_list-B-POP1.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6.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6.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6.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7.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7.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7.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B-POP8.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B-POP8.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B-POP8.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www.klimasken.cz/sk/download/metodicky_list-GOV16.pdf" TargetMode="External"/><Relationship Id="rId3" Type="http://schemas.openxmlformats.org/officeDocument/2006/relationships/hyperlink" Target="https://www.klimasken.cz/sk/download/metodicky_list-B-POP1.pdf" TargetMode="External"/><Relationship Id="rId7" Type="http://schemas.openxmlformats.org/officeDocument/2006/relationships/hyperlink" Target="https://www.klimasken.cz/cs/download/metodicky_list-GOV16.pdf" TargetMode="External"/><Relationship Id="rId12" Type="http://schemas.openxmlformats.org/officeDocument/2006/relationships/hyperlink" Target="https://www.klimasken.cz/en/download/metodicky_list-POP9.pdf" TargetMode="External"/><Relationship Id="rId2" Type="http://schemas.openxmlformats.org/officeDocument/2006/relationships/image" Target="../media/image1.png"/><Relationship Id="rId1" Type="http://schemas.openxmlformats.org/officeDocument/2006/relationships/hyperlink" Target="https://www.klimasken.cz/cs/download/metodicky_list-B-POP1.pdf" TargetMode="External"/><Relationship Id="rId6" Type="http://schemas.openxmlformats.org/officeDocument/2006/relationships/image" Target="../media/image3.png"/><Relationship Id="rId11" Type="http://schemas.openxmlformats.org/officeDocument/2006/relationships/hyperlink" Target="https://www.klimasken.cz/sk/download/metodicky_list-POP9.pdf" TargetMode="External"/><Relationship Id="rId5" Type="http://schemas.openxmlformats.org/officeDocument/2006/relationships/hyperlink" Target="https://www.klimasken.cz/en/download/metodicky_list-B-POP1.pdf" TargetMode="External"/><Relationship Id="rId10" Type="http://schemas.openxmlformats.org/officeDocument/2006/relationships/hyperlink" Target="https://www.klimasken.cz/cs/download/metodicky_list-POP9.pdf" TargetMode="External"/><Relationship Id="rId4" Type="http://schemas.openxmlformats.org/officeDocument/2006/relationships/image" Target="../media/image2.png"/><Relationship Id="rId9" Type="http://schemas.openxmlformats.org/officeDocument/2006/relationships/hyperlink" Target="https://www.klimasken.cz/en/download/metodicky_list-GOV16.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460391"/>
          <a:ext cx="341463" cy="227927"/>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467765"/>
          <a:ext cx="353208" cy="235767"/>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472475"/>
          <a:ext cx="571629" cy="237099"/>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C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C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C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C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C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C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C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D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D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D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D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D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D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D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D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60341</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270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E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E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E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E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E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E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E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10"/>
          <a:extLst>
            <a:ext uri="{FF2B5EF4-FFF2-40B4-BE49-F238E27FC236}">
              <a16:creationId xmlns:a16="http://schemas.microsoft.com/office/drawing/2014/main" id="{00000000-0008-0000-0E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E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E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oneCellAnchor>
    <xdr:from>
      <xdr:col>0</xdr:col>
      <xdr:colOff>2336321</xdr:colOff>
      <xdr:row>1</xdr:row>
      <xdr:rowOff>50816</xdr:rowOff>
    </xdr:from>
    <xdr:ext cx="341463" cy="215884"/>
    <xdr:pic>
      <xdr:nvPicPr>
        <xdr:cNvPr id="23" name="Obrázek 22">
          <a:hlinkClick xmlns:r="http://schemas.openxmlformats.org/officeDocument/2006/relationships" r:id="rId11"/>
          <a:extLst>
            <a:ext uri="{FF2B5EF4-FFF2-40B4-BE49-F238E27FC236}">
              <a16:creationId xmlns:a16="http://schemas.microsoft.com/office/drawing/2014/main" id="{00000000-0008-0000-0E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15884"/>
        </a:xfrm>
        <a:prstGeom prst="rect">
          <a:avLst/>
        </a:prstGeom>
      </xdr:spPr>
    </xdr:pic>
    <xdr:clientData/>
  </xdr:oneCellAnchor>
  <xdr:oneCellAnchor>
    <xdr:from>
      <xdr:col>0</xdr:col>
      <xdr:colOff>2944601</xdr:colOff>
      <xdr:row>1</xdr:row>
      <xdr:rowOff>58190</xdr:rowOff>
    </xdr:from>
    <xdr:ext cx="353208" cy="227560"/>
    <xdr:pic>
      <xdr:nvPicPr>
        <xdr:cNvPr id="24" name="Obrázek 23">
          <a:hlinkClick xmlns:r="http://schemas.openxmlformats.org/officeDocument/2006/relationships" r:id="rId12"/>
          <a:extLst>
            <a:ext uri="{FF2B5EF4-FFF2-40B4-BE49-F238E27FC236}">
              <a16:creationId xmlns:a16="http://schemas.microsoft.com/office/drawing/2014/main" id="{00000000-0008-0000-0E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2756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F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F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F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F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F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0"/>
          <a:extLst>
            <a:ext uri="{FF2B5EF4-FFF2-40B4-BE49-F238E27FC236}">
              <a16:creationId xmlns:a16="http://schemas.microsoft.com/office/drawing/2014/main" id="{00000000-0008-0000-0F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F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F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11"/>
          <a:extLst>
            <a:ext uri="{FF2B5EF4-FFF2-40B4-BE49-F238E27FC236}">
              <a16:creationId xmlns:a16="http://schemas.microsoft.com/office/drawing/2014/main" id="{00000000-0008-0000-0F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F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F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0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0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0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0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0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0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0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0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1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1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1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1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1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1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1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1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1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1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1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1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1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2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2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2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2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2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2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2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2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2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2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2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3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3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3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3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3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3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3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3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3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3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3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4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4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4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4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4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4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4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4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4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4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4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4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4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4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5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5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5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5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5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5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5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5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5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5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5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5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5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6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6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6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6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6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6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6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6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6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6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6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6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6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7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7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7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7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7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7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7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7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7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7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7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7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7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7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7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7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7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7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7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8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8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8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8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8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8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8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8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8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8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8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8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8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8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8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8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8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7080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8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8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1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19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19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9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9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9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9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9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9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9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9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9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9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9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9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9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9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9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9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1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1A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1A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A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A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A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A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A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A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A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A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A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A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1A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A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A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A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1A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1A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1A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1B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1B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1B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B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B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B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B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B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B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B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B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72425</xdr:rowOff>
    </xdr:from>
    <xdr:to>
      <xdr:col>0</xdr:col>
      <xdr:colOff>4142477</xdr:colOff>
      <xdr:row>1</xdr:row>
      <xdr:rowOff>307727</xdr:rowOff>
    </xdr:to>
    <xdr:pic>
      <xdr:nvPicPr>
        <xdr:cNvPr id="16" name="Obrázek 15">
          <a:hlinkClick xmlns:r="http://schemas.openxmlformats.org/officeDocument/2006/relationships" r:id="rId10"/>
          <a:extLst>
            <a:ext uri="{FF2B5EF4-FFF2-40B4-BE49-F238E27FC236}">
              <a16:creationId xmlns:a16="http://schemas.microsoft.com/office/drawing/2014/main" id="{00000000-0008-0000-1B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6439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1B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1B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B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B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1"/>
          <a:extLst>
            <a:ext uri="{FF2B5EF4-FFF2-40B4-BE49-F238E27FC236}">
              <a16:creationId xmlns:a16="http://schemas.microsoft.com/office/drawing/2014/main" id="{00000000-0008-0000-1B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2"/>
          <a:extLst>
            <a:ext uri="{FF2B5EF4-FFF2-40B4-BE49-F238E27FC236}">
              <a16:creationId xmlns:a16="http://schemas.microsoft.com/office/drawing/2014/main" id="{00000000-0008-0000-1B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C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C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1"/>
          <a:extLst>
            <a:ext uri="{FF2B5EF4-FFF2-40B4-BE49-F238E27FC236}">
              <a16:creationId xmlns:a16="http://schemas.microsoft.com/office/drawing/2014/main" id="{00000000-0008-0000-1C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3"/>
          <a:extLst>
            <a:ext uri="{FF2B5EF4-FFF2-40B4-BE49-F238E27FC236}">
              <a16:creationId xmlns:a16="http://schemas.microsoft.com/office/drawing/2014/main" id="{00000000-0008-0000-1C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5"/>
          <a:extLst>
            <a:ext uri="{FF2B5EF4-FFF2-40B4-BE49-F238E27FC236}">
              <a16:creationId xmlns:a16="http://schemas.microsoft.com/office/drawing/2014/main" id="{00000000-0008-0000-1C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C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C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C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7"/>
          <a:extLst>
            <a:ext uri="{FF2B5EF4-FFF2-40B4-BE49-F238E27FC236}">
              <a16:creationId xmlns:a16="http://schemas.microsoft.com/office/drawing/2014/main" id="{00000000-0008-0000-1C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8"/>
          <a:extLst>
            <a:ext uri="{FF2B5EF4-FFF2-40B4-BE49-F238E27FC236}">
              <a16:creationId xmlns:a16="http://schemas.microsoft.com/office/drawing/2014/main" id="{00000000-0008-0000-1C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9"/>
          <a:extLst>
            <a:ext uri="{FF2B5EF4-FFF2-40B4-BE49-F238E27FC236}">
              <a16:creationId xmlns:a16="http://schemas.microsoft.com/office/drawing/2014/main" id="{00000000-0008-0000-1C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C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C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C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3" name="Obrázek 22">
          <a:hlinkClick xmlns:r="http://schemas.openxmlformats.org/officeDocument/2006/relationships" r:id="rId1"/>
          <a:extLst>
            <a:ext uri="{FF2B5EF4-FFF2-40B4-BE49-F238E27FC236}">
              <a16:creationId xmlns:a16="http://schemas.microsoft.com/office/drawing/2014/main" id="{00000000-0008-0000-1C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4" name="Obrázek 23">
          <a:hlinkClick xmlns:r="http://schemas.openxmlformats.org/officeDocument/2006/relationships" r:id="rId3"/>
          <a:extLst>
            <a:ext uri="{FF2B5EF4-FFF2-40B4-BE49-F238E27FC236}">
              <a16:creationId xmlns:a16="http://schemas.microsoft.com/office/drawing/2014/main" id="{00000000-0008-0000-1C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5" name="Obrázek 24">
          <a:hlinkClick xmlns:r="http://schemas.openxmlformats.org/officeDocument/2006/relationships" r:id="rId5"/>
          <a:extLst>
            <a:ext uri="{FF2B5EF4-FFF2-40B4-BE49-F238E27FC236}">
              <a16:creationId xmlns:a16="http://schemas.microsoft.com/office/drawing/2014/main" id="{00000000-0008-0000-1C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0"/>
          <a:extLst>
            <a:ext uri="{FF2B5EF4-FFF2-40B4-BE49-F238E27FC236}">
              <a16:creationId xmlns:a16="http://schemas.microsoft.com/office/drawing/2014/main" id="{00000000-0008-0000-1C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11"/>
          <a:extLst>
            <a:ext uri="{FF2B5EF4-FFF2-40B4-BE49-F238E27FC236}">
              <a16:creationId xmlns:a16="http://schemas.microsoft.com/office/drawing/2014/main" id="{00000000-0008-0000-1C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12"/>
          <a:extLst>
            <a:ext uri="{FF2B5EF4-FFF2-40B4-BE49-F238E27FC236}">
              <a16:creationId xmlns:a16="http://schemas.microsoft.com/office/drawing/2014/main" id="{00000000-0008-0000-1C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1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1D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1D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D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D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D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D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D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D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D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D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D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1D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1D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1D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D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D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D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1D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1D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1D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1D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1D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1D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1D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1D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1D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1D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1D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1D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1D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1D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1D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E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1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1E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1E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E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E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E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E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E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E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E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E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E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1E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1E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1E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E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E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E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1E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1E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1E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1E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1E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1E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1E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1E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1E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1E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1E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1E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1E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1E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1E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1F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1F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1F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1F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1F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1F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1F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1F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1F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1F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1F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1F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1F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1F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1F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1F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1F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1F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1F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1F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1F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1F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1F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1F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1F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1F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1F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1F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1F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1F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1F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1F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1F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1F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0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0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7582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0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0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0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0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0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0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0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10"/>
          <a:extLst>
            <a:ext uri="{FF2B5EF4-FFF2-40B4-BE49-F238E27FC236}">
              <a16:creationId xmlns:a16="http://schemas.microsoft.com/office/drawing/2014/main" id="{00000000-0008-0000-20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0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1"/>
          <a:extLst>
            <a:ext uri="{FF2B5EF4-FFF2-40B4-BE49-F238E27FC236}">
              <a16:creationId xmlns:a16="http://schemas.microsoft.com/office/drawing/2014/main" id="{00000000-0008-0000-20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1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1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1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1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1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1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1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1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1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1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1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1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1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1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1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1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1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1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1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1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1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1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1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1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1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1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1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2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2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2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2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2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2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2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2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2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2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2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2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2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2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2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2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2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2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2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2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2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2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2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3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3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3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3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3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3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3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3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3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3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3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3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3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3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3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3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3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3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3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3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3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3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3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4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4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4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4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4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4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4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4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4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4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4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4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4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0"/>
          <a:extLst>
            <a:ext uri="{FF2B5EF4-FFF2-40B4-BE49-F238E27FC236}">
              <a16:creationId xmlns:a16="http://schemas.microsoft.com/office/drawing/2014/main" id="{00000000-0008-0000-24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4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11"/>
          <a:extLst>
            <a:ext uri="{FF2B5EF4-FFF2-40B4-BE49-F238E27FC236}">
              <a16:creationId xmlns:a16="http://schemas.microsoft.com/office/drawing/2014/main" id="{00000000-0008-0000-24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4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4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2"/>
          <a:extLst>
            <a:ext uri="{FF2B5EF4-FFF2-40B4-BE49-F238E27FC236}">
              <a16:creationId xmlns:a16="http://schemas.microsoft.com/office/drawing/2014/main" id="{00000000-0008-0000-24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5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5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5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5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5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5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5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5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5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5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5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5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5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5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5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5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5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5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5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5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5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0"/>
          <a:extLst>
            <a:ext uri="{FF2B5EF4-FFF2-40B4-BE49-F238E27FC236}">
              <a16:creationId xmlns:a16="http://schemas.microsoft.com/office/drawing/2014/main" id="{00000000-0008-0000-25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5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11"/>
          <a:extLst>
            <a:ext uri="{FF2B5EF4-FFF2-40B4-BE49-F238E27FC236}">
              <a16:creationId xmlns:a16="http://schemas.microsoft.com/office/drawing/2014/main" id="{00000000-0008-0000-25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2"/>
          <a:extLst>
            <a:ext uri="{FF2B5EF4-FFF2-40B4-BE49-F238E27FC236}">
              <a16:creationId xmlns:a16="http://schemas.microsoft.com/office/drawing/2014/main" id="{00000000-0008-0000-25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6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6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6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6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6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6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6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6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6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6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6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6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6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6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6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6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6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6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6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6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6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6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6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6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6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6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7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7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7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7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7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7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7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7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7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7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7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7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7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7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7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7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7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7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7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7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7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7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7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7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7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7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7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7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7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7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7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7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8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8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8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8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8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8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8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8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8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8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8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8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8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8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8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8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8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8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8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8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8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8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8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8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8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8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8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8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8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8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8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9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9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9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9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9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9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9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9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9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9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9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9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9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9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9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9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9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9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9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9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9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9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9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9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9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9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9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9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53375</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9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91575"/>
          <a:ext cx="571629" cy="23530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53375</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0075"/>
          <a:ext cx="571629" cy="235302"/>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2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2A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2A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2A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2A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2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2A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2A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2A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2A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2A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2A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2A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2A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2A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2A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2A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2A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2A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2A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2A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2A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2A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2A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1"/>
          <a:extLst>
            <a:ext uri="{FF2B5EF4-FFF2-40B4-BE49-F238E27FC236}">
              <a16:creationId xmlns:a16="http://schemas.microsoft.com/office/drawing/2014/main" id="{00000000-0008-0000-2A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3"/>
          <a:extLst>
            <a:ext uri="{FF2B5EF4-FFF2-40B4-BE49-F238E27FC236}">
              <a16:creationId xmlns:a16="http://schemas.microsoft.com/office/drawing/2014/main" id="{00000000-0008-0000-2A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5"/>
          <a:extLst>
            <a:ext uri="{FF2B5EF4-FFF2-40B4-BE49-F238E27FC236}">
              <a16:creationId xmlns:a16="http://schemas.microsoft.com/office/drawing/2014/main" id="{00000000-0008-0000-2A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2A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2A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2A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10"/>
          <a:extLst>
            <a:ext uri="{FF2B5EF4-FFF2-40B4-BE49-F238E27FC236}">
              <a16:creationId xmlns:a16="http://schemas.microsoft.com/office/drawing/2014/main" id="{00000000-0008-0000-2A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11"/>
          <a:extLst>
            <a:ext uri="{FF2B5EF4-FFF2-40B4-BE49-F238E27FC236}">
              <a16:creationId xmlns:a16="http://schemas.microsoft.com/office/drawing/2014/main" id="{00000000-0008-0000-2A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12"/>
          <a:extLst>
            <a:ext uri="{FF2B5EF4-FFF2-40B4-BE49-F238E27FC236}">
              <a16:creationId xmlns:a16="http://schemas.microsoft.com/office/drawing/2014/main" id="{00000000-0008-0000-2A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2</xdr:col>
      <xdr:colOff>62952</xdr:colOff>
      <xdr:row>2</xdr:row>
      <xdr:rowOff>57150</xdr:rowOff>
    </xdr:from>
    <xdr:ext cx="508427" cy="209286"/>
    <xdr:pic>
      <xdr:nvPicPr>
        <xdr:cNvPr id="5" name="Obrázek 4">
          <a:extLst>
            <a:ext uri="{FF2B5EF4-FFF2-40B4-BE49-F238E27FC236}">
              <a16:creationId xmlns:a16="http://schemas.microsoft.com/office/drawing/2014/main" id="{00000000-0008-0000-2F00-00004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2152" y="438150"/>
          <a:ext cx="508427" cy="209286"/>
        </a:xfrm>
        <a:prstGeom prst="rect">
          <a:avLst/>
        </a:prstGeom>
      </xdr:spPr>
    </xdr:pic>
    <xdr:clientData/>
  </xdr:oneCellAnchor>
  <xdr:twoCellAnchor editAs="oneCell">
    <xdr:from>
      <xdr:col>0</xdr:col>
      <xdr:colOff>95250</xdr:colOff>
      <xdr:row>2</xdr:row>
      <xdr:rowOff>47625</xdr:rowOff>
    </xdr:from>
    <xdr:to>
      <xdr:col>0</xdr:col>
      <xdr:colOff>436713</xdr:colOff>
      <xdr:row>2</xdr:row>
      <xdr:rowOff>273755</xdr:rowOff>
    </xdr:to>
    <xdr:pic>
      <xdr:nvPicPr>
        <xdr:cNvPr id="6" name="Obrázek 5">
          <a:extLst>
            <a:ext uri="{FF2B5EF4-FFF2-40B4-BE49-F238E27FC236}">
              <a16:creationId xmlns:a16="http://schemas.microsoft.com/office/drawing/2014/main" id="{00000000-0008-0000-2F00-00004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428625"/>
          <a:ext cx="341463" cy="226130"/>
        </a:xfrm>
        <a:prstGeom prst="rect">
          <a:avLst/>
        </a:prstGeom>
      </xdr:spPr>
    </xdr:pic>
    <xdr:clientData/>
  </xdr:twoCellAnchor>
  <xdr:twoCellAnchor editAs="oneCell">
    <xdr:from>
      <xdr:col>1</xdr:col>
      <xdr:colOff>93930</xdr:colOff>
      <xdr:row>2</xdr:row>
      <xdr:rowOff>16899</xdr:rowOff>
    </xdr:from>
    <xdr:to>
      <xdr:col>1</xdr:col>
      <xdr:colOff>447138</xdr:colOff>
      <xdr:row>2</xdr:row>
      <xdr:rowOff>250869</xdr:rowOff>
    </xdr:to>
    <xdr:pic>
      <xdr:nvPicPr>
        <xdr:cNvPr id="7" name="Obrázek 6">
          <a:extLst>
            <a:ext uri="{FF2B5EF4-FFF2-40B4-BE49-F238E27FC236}">
              <a16:creationId xmlns:a16="http://schemas.microsoft.com/office/drawing/2014/main" id="{00000000-0008-0000-2F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3530" y="397899"/>
          <a:ext cx="353208" cy="23397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3A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3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3A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3A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3A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3A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3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3A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3A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3A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3A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3A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3A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3A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3A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3A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3A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3A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3A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3A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3A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3A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3A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3A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3A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3A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3A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3A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3A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3A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3A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3A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3A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72425</xdr:rowOff>
    </xdr:from>
    <xdr:ext cx="571629" cy="235302"/>
    <xdr:pic>
      <xdr:nvPicPr>
        <xdr:cNvPr id="37" name="Obrázek 36">
          <a:hlinkClick xmlns:r="http://schemas.openxmlformats.org/officeDocument/2006/relationships" r:id="rId10"/>
          <a:extLst>
            <a:ext uri="{FF2B5EF4-FFF2-40B4-BE49-F238E27FC236}">
              <a16:creationId xmlns:a16="http://schemas.microsoft.com/office/drawing/2014/main" id="{00000000-0008-0000-3A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9157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3A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3A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1"/>
          <a:extLst>
            <a:ext uri="{FF2B5EF4-FFF2-40B4-BE49-F238E27FC236}">
              <a16:creationId xmlns:a16="http://schemas.microsoft.com/office/drawing/2014/main" id="{00000000-0008-0000-3A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2"/>
          <a:extLst>
            <a:ext uri="{FF2B5EF4-FFF2-40B4-BE49-F238E27FC236}">
              <a16:creationId xmlns:a16="http://schemas.microsoft.com/office/drawing/2014/main" id="{00000000-0008-0000-3A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5</xdr:col>
      <xdr:colOff>71689</xdr:colOff>
      <xdr:row>1</xdr:row>
      <xdr:rowOff>42111</xdr:rowOff>
    </xdr:from>
    <xdr:to>
      <xdr:col>5</xdr:col>
      <xdr:colOff>471739</xdr:colOff>
      <xdr:row>1</xdr:row>
      <xdr:rowOff>158416</xdr:rowOff>
    </xdr:to>
    <xdr:sp macro="" textlink="">
      <xdr:nvSpPr>
        <xdr:cNvPr id="3" name="Šipka doleva 2">
          <a:hlinkClick xmlns:r="http://schemas.openxmlformats.org/officeDocument/2006/relationships" r:id="rId1"/>
          <a:extLst>
            <a:ext uri="{FF2B5EF4-FFF2-40B4-BE49-F238E27FC236}">
              <a16:creationId xmlns:a16="http://schemas.microsoft.com/office/drawing/2014/main" id="{00000000-0008-0000-3B00-000003000000}"/>
            </a:ext>
          </a:extLst>
        </xdr:cNvPr>
        <xdr:cNvSpPr/>
      </xdr:nvSpPr>
      <xdr:spPr>
        <a:xfrm rot="10800000">
          <a:off x="9120439" y="308811"/>
          <a:ext cx="40005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5</xdr:col>
      <xdr:colOff>71689</xdr:colOff>
      <xdr:row>1</xdr:row>
      <xdr:rowOff>42111</xdr:rowOff>
    </xdr:from>
    <xdr:to>
      <xdr:col>5</xdr:col>
      <xdr:colOff>471739</xdr:colOff>
      <xdr:row>1</xdr:row>
      <xdr:rowOff>158416</xdr:rowOff>
    </xdr:to>
    <xdr:sp macro="" textlink="">
      <xdr:nvSpPr>
        <xdr:cNvPr id="4" name="Šipka doleva 3">
          <a:hlinkClick xmlns:r="http://schemas.openxmlformats.org/officeDocument/2006/relationships" r:id="rId2"/>
          <a:extLst>
            <a:ext uri="{FF2B5EF4-FFF2-40B4-BE49-F238E27FC236}">
              <a16:creationId xmlns:a16="http://schemas.microsoft.com/office/drawing/2014/main" id="{00000000-0008-0000-3B00-000004000000}"/>
            </a:ext>
          </a:extLst>
        </xdr:cNvPr>
        <xdr:cNvSpPr/>
      </xdr:nvSpPr>
      <xdr:spPr>
        <a:xfrm rot="10800000">
          <a:off x="7200900" y="880311"/>
          <a:ext cx="0" cy="1163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3"/>
          <a:extLst>
            <a:ext uri="{FF2B5EF4-FFF2-40B4-BE49-F238E27FC236}">
              <a16:creationId xmlns:a16="http://schemas.microsoft.com/office/drawing/2014/main" id="{00000000-0008-0000-3B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5"/>
          <a:extLst>
            <a:ext uri="{FF2B5EF4-FFF2-40B4-BE49-F238E27FC236}">
              <a16:creationId xmlns:a16="http://schemas.microsoft.com/office/drawing/2014/main" id="{00000000-0008-0000-3B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7"/>
          <a:extLst>
            <a:ext uri="{FF2B5EF4-FFF2-40B4-BE49-F238E27FC236}">
              <a16:creationId xmlns:a16="http://schemas.microsoft.com/office/drawing/2014/main" id="{00000000-0008-0000-3B00-00000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8" name="Obrázek 7">
          <a:hlinkClick xmlns:r="http://schemas.openxmlformats.org/officeDocument/2006/relationships" r:id="rId3"/>
          <a:extLst>
            <a:ext uri="{FF2B5EF4-FFF2-40B4-BE49-F238E27FC236}">
              <a16:creationId xmlns:a16="http://schemas.microsoft.com/office/drawing/2014/main" id="{00000000-0008-0000-3B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9" name="Obrázek 8">
          <a:hlinkClick xmlns:r="http://schemas.openxmlformats.org/officeDocument/2006/relationships" r:id="rId5"/>
          <a:extLst>
            <a:ext uri="{FF2B5EF4-FFF2-40B4-BE49-F238E27FC236}">
              <a16:creationId xmlns:a16="http://schemas.microsoft.com/office/drawing/2014/main" id="{00000000-0008-0000-3B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10" name="Obrázek 9">
          <a:hlinkClick xmlns:r="http://schemas.openxmlformats.org/officeDocument/2006/relationships" r:id="rId7"/>
          <a:extLst>
            <a:ext uri="{FF2B5EF4-FFF2-40B4-BE49-F238E27FC236}">
              <a16:creationId xmlns:a16="http://schemas.microsoft.com/office/drawing/2014/main" id="{00000000-0008-0000-3B00-00000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1" name="Obrázek 10">
          <a:hlinkClick xmlns:r="http://schemas.openxmlformats.org/officeDocument/2006/relationships" r:id="rId3"/>
          <a:extLst>
            <a:ext uri="{FF2B5EF4-FFF2-40B4-BE49-F238E27FC236}">
              <a16:creationId xmlns:a16="http://schemas.microsoft.com/office/drawing/2014/main" id="{00000000-0008-0000-3B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2" name="Obrázek 11">
          <a:hlinkClick xmlns:r="http://schemas.openxmlformats.org/officeDocument/2006/relationships" r:id="rId5"/>
          <a:extLst>
            <a:ext uri="{FF2B5EF4-FFF2-40B4-BE49-F238E27FC236}">
              <a16:creationId xmlns:a16="http://schemas.microsoft.com/office/drawing/2014/main" id="{00000000-0008-0000-3B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3" name="Obrázek 12">
          <a:hlinkClick xmlns:r="http://schemas.openxmlformats.org/officeDocument/2006/relationships" r:id="rId7"/>
          <a:extLst>
            <a:ext uri="{FF2B5EF4-FFF2-40B4-BE49-F238E27FC236}">
              <a16:creationId xmlns:a16="http://schemas.microsoft.com/office/drawing/2014/main" id="{00000000-0008-0000-3B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4" name="Obrázek 13">
          <a:hlinkClick xmlns:r="http://schemas.openxmlformats.org/officeDocument/2006/relationships" r:id="rId9"/>
          <a:extLst>
            <a:ext uri="{FF2B5EF4-FFF2-40B4-BE49-F238E27FC236}">
              <a16:creationId xmlns:a16="http://schemas.microsoft.com/office/drawing/2014/main" id="{00000000-0008-0000-3B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5" name="Obrázek 14">
          <a:hlinkClick xmlns:r="http://schemas.openxmlformats.org/officeDocument/2006/relationships" r:id="rId10"/>
          <a:extLst>
            <a:ext uri="{FF2B5EF4-FFF2-40B4-BE49-F238E27FC236}">
              <a16:creationId xmlns:a16="http://schemas.microsoft.com/office/drawing/2014/main" id="{00000000-0008-0000-3B00-00000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6" name="Obrázek 15">
          <a:hlinkClick xmlns:r="http://schemas.openxmlformats.org/officeDocument/2006/relationships" r:id="rId11"/>
          <a:extLst>
            <a:ext uri="{FF2B5EF4-FFF2-40B4-BE49-F238E27FC236}">
              <a16:creationId xmlns:a16="http://schemas.microsoft.com/office/drawing/2014/main" id="{00000000-0008-0000-3B00-00001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3"/>
          <a:extLst>
            <a:ext uri="{FF2B5EF4-FFF2-40B4-BE49-F238E27FC236}">
              <a16:creationId xmlns:a16="http://schemas.microsoft.com/office/drawing/2014/main" id="{00000000-0008-0000-3B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5"/>
          <a:extLst>
            <a:ext uri="{FF2B5EF4-FFF2-40B4-BE49-F238E27FC236}">
              <a16:creationId xmlns:a16="http://schemas.microsoft.com/office/drawing/2014/main" id="{00000000-0008-0000-3B00-00001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7"/>
          <a:extLst>
            <a:ext uri="{FF2B5EF4-FFF2-40B4-BE49-F238E27FC236}">
              <a16:creationId xmlns:a16="http://schemas.microsoft.com/office/drawing/2014/main" id="{00000000-0008-0000-3B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0" name="Obrázek 19">
          <a:hlinkClick xmlns:r="http://schemas.openxmlformats.org/officeDocument/2006/relationships" r:id="rId3"/>
          <a:extLst>
            <a:ext uri="{FF2B5EF4-FFF2-40B4-BE49-F238E27FC236}">
              <a16:creationId xmlns:a16="http://schemas.microsoft.com/office/drawing/2014/main" id="{00000000-0008-0000-3B00-00001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1" name="Obrázek 20">
          <a:hlinkClick xmlns:r="http://schemas.openxmlformats.org/officeDocument/2006/relationships" r:id="rId5"/>
          <a:extLst>
            <a:ext uri="{FF2B5EF4-FFF2-40B4-BE49-F238E27FC236}">
              <a16:creationId xmlns:a16="http://schemas.microsoft.com/office/drawing/2014/main" id="{00000000-0008-0000-3B00-00001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2" name="Obrázek 21">
          <a:hlinkClick xmlns:r="http://schemas.openxmlformats.org/officeDocument/2006/relationships" r:id="rId7"/>
          <a:extLst>
            <a:ext uri="{FF2B5EF4-FFF2-40B4-BE49-F238E27FC236}">
              <a16:creationId xmlns:a16="http://schemas.microsoft.com/office/drawing/2014/main" id="{00000000-0008-0000-3B00-00001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3" name="Obrázek 22">
          <a:hlinkClick xmlns:r="http://schemas.openxmlformats.org/officeDocument/2006/relationships" r:id="rId3"/>
          <a:extLst>
            <a:ext uri="{FF2B5EF4-FFF2-40B4-BE49-F238E27FC236}">
              <a16:creationId xmlns:a16="http://schemas.microsoft.com/office/drawing/2014/main" id="{00000000-0008-0000-3B00-00001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4" name="Obrázek 23">
          <a:hlinkClick xmlns:r="http://schemas.openxmlformats.org/officeDocument/2006/relationships" r:id="rId5"/>
          <a:extLst>
            <a:ext uri="{FF2B5EF4-FFF2-40B4-BE49-F238E27FC236}">
              <a16:creationId xmlns:a16="http://schemas.microsoft.com/office/drawing/2014/main" id="{00000000-0008-0000-3B00-00001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5" name="Obrázek 24">
          <a:hlinkClick xmlns:r="http://schemas.openxmlformats.org/officeDocument/2006/relationships" r:id="rId7"/>
          <a:extLst>
            <a:ext uri="{FF2B5EF4-FFF2-40B4-BE49-F238E27FC236}">
              <a16:creationId xmlns:a16="http://schemas.microsoft.com/office/drawing/2014/main" id="{00000000-0008-0000-3B00-00001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6" name="Obrázek 25">
          <a:hlinkClick xmlns:r="http://schemas.openxmlformats.org/officeDocument/2006/relationships" r:id="rId9"/>
          <a:extLst>
            <a:ext uri="{FF2B5EF4-FFF2-40B4-BE49-F238E27FC236}">
              <a16:creationId xmlns:a16="http://schemas.microsoft.com/office/drawing/2014/main" id="{00000000-0008-0000-3B00-00001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7" name="Obrázek 26">
          <a:hlinkClick xmlns:r="http://schemas.openxmlformats.org/officeDocument/2006/relationships" r:id="rId10"/>
          <a:extLst>
            <a:ext uri="{FF2B5EF4-FFF2-40B4-BE49-F238E27FC236}">
              <a16:creationId xmlns:a16="http://schemas.microsoft.com/office/drawing/2014/main" id="{00000000-0008-0000-3B00-00001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8" name="Obrázek 27">
          <a:hlinkClick xmlns:r="http://schemas.openxmlformats.org/officeDocument/2006/relationships" r:id="rId11"/>
          <a:extLst>
            <a:ext uri="{FF2B5EF4-FFF2-40B4-BE49-F238E27FC236}">
              <a16:creationId xmlns:a16="http://schemas.microsoft.com/office/drawing/2014/main" id="{00000000-0008-0000-3B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9" name="Obrázek 28">
          <a:hlinkClick xmlns:r="http://schemas.openxmlformats.org/officeDocument/2006/relationships" r:id="rId3"/>
          <a:extLst>
            <a:ext uri="{FF2B5EF4-FFF2-40B4-BE49-F238E27FC236}">
              <a16:creationId xmlns:a16="http://schemas.microsoft.com/office/drawing/2014/main" id="{00000000-0008-0000-3B00-00001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0" name="Obrázek 29">
          <a:hlinkClick xmlns:r="http://schemas.openxmlformats.org/officeDocument/2006/relationships" r:id="rId5"/>
          <a:extLst>
            <a:ext uri="{FF2B5EF4-FFF2-40B4-BE49-F238E27FC236}">
              <a16:creationId xmlns:a16="http://schemas.microsoft.com/office/drawing/2014/main" id="{00000000-0008-0000-3B00-00001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1" name="Obrázek 30">
          <a:hlinkClick xmlns:r="http://schemas.openxmlformats.org/officeDocument/2006/relationships" r:id="rId7"/>
          <a:extLst>
            <a:ext uri="{FF2B5EF4-FFF2-40B4-BE49-F238E27FC236}">
              <a16:creationId xmlns:a16="http://schemas.microsoft.com/office/drawing/2014/main" id="{00000000-0008-0000-3B00-00001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2" name="Obrázek 31">
          <a:hlinkClick xmlns:r="http://schemas.openxmlformats.org/officeDocument/2006/relationships" r:id="rId3"/>
          <a:extLst>
            <a:ext uri="{FF2B5EF4-FFF2-40B4-BE49-F238E27FC236}">
              <a16:creationId xmlns:a16="http://schemas.microsoft.com/office/drawing/2014/main" id="{00000000-0008-0000-3B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3" name="Obrázek 32">
          <a:hlinkClick xmlns:r="http://schemas.openxmlformats.org/officeDocument/2006/relationships" r:id="rId5"/>
          <a:extLst>
            <a:ext uri="{FF2B5EF4-FFF2-40B4-BE49-F238E27FC236}">
              <a16:creationId xmlns:a16="http://schemas.microsoft.com/office/drawing/2014/main" id="{00000000-0008-0000-3B00-00002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4" name="Obrázek 33">
          <a:hlinkClick xmlns:r="http://schemas.openxmlformats.org/officeDocument/2006/relationships" r:id="rId7"/>
          <a:extLst>
            <a:ext uri="{FF2B5EF4-FFF2-40B4-BE49-F238E27FC236}">
              <a16:creationId xmlns:a16="http://schemas.microsoft.com/office/drawing/2014/main" id="{00000000-0008-0000-3B00-00002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5" name="Obrázek 34">
          <a:hlinkClick xmlns:r="http://schemas.openxmlformats.org/officeDocument/2006/relationships" r:id="rId3"/>
          <a:extLst>
            <a:ext uri="{FF2B5EF4-FFF2-40B4-BE49-F238E27FC236}">
              <a16:creationId xmlns:a16="http://schemas.microsoft.com/office/drawing/2014/main" id="{00000000-0008-0000-3B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6" name="Obrázek 35">
          <a:hlinkClick xmlns:r="http://schemas.openxmlformats.org/officeDocument/2006/relationships" r:id="rId5"/>
          <a:extLst>
            <a:ext uri="{FF2B5EF4-FFF2-40B4-BE49-F238E27FC236}">
              <a16:creationId xmlns:a16="http://schemas.microsoft.com/office/drawing/2014/main" id="{00000000-0008-0000-3B00-00002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7" name="Obrázek 36">
          <a:hlinkClick xmlns:r="http://schemas.openxmlformats.org/officeDocument/2006/relationships" r:id="rId7"/>
          <a:extLst>
            <a:ext uri="{FF2B5EF4-FFF2-40B4-BE49-F238E27FC236}">
              <a16:creationId xmlns:a16="http://schemas.microsoft.com/office/drawing/2014/main" id="{00000000-0008-0000-3B00-000025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8" name="Obrázek 37">
          <a:hlinkClick xmlns:r="http://schemas.openxmlformats.org/officeDocument/2006/relationships" r:id="rId9"/>
          <a:extLst>
            <a:ext uri="{FF2B5EF4-FFF2-40B4-BE49-F238E27FC236}">
              <a16:creationId xmlns:a16="http://schemas.microsoft.com/office/drawing/2014/main" id="{00000000-0008-0000-3B00-00002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9" name="Obrázek 38">
          <a:hlinkClick xmlns:r="http://schemas.openxmlformats.org/officeDocument/2006/relationships" r:id="rId10"/>
          <a:extLst>
            <a:ext uri="{FF2B5EF4-FFF2-40B4-BE49-F238E27FC236}">
              <a16:creationId xmlns:a16="http://schemas.microsoft.com/office/drawing/2014/main" id="{00000000-0008-0000-3B00-00002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0" name="Obrázek 39">
          <a:hlinkClick xmlns:r="http://schemas.openxmlformats.org/officeDocument/2006/relationships" r:id="rId11"/>
          <a:extLst>
            <a:ext uri="{FF2B5EF4-FFF2-40B4-BE49-F238E27FC236}">
              <a16:creationId xmlns:a16="http://schemas.microsoft.com/office/drawing/2014/main" id="{00000000-0008-0000-3B00-00002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3"/>
          <a:extLst>
            <a:ext uri="{FF2B5EF4-FFF2-40B4-BE49-F238E27FC236}">
              <a16:creationId xmlns:a16="http://schemas.microsoft.com/office/drawing/2014/main" id="{00000000-0008-0000-3B00-00002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5"/>
          <a:extLst>
            <a:ext uri="{FF2B5EF4-FFF2-40B4-BE49-F238E27FC236}">
              <a16:creationId xmlns:a16="http://schemas.microsoft.com/office/drawing/2014/main" id="{00000000-0008-0000-3B00-00002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7"/>
          <a:extLst>
            <a:ext uri="{FF2B5EF4-FFF2-40B4-BE49-F238E27FC236}">
              <a16:creationId xmlns:a16="http://schemas.microsoft.com/office/drawing/2014/main" id="{00000000-0008-0000-3B00-00002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3"/>
          <a:extLst>
            <a:ext uri="{FF2B5EF4-FFF2-40B4-BE49-F238E27FC236}">
              <a16:creationId xmlns:a16="http://schemas.microsoft.com/office/drawing/2014/main" id="{00000000-0008-0000-3B00-00002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5"/>
          <a:extLst>
            <a:ext uri="{FF2B5EF4-FFF2-40B4-BE49-F238E27FC236}">
              <a16:creationId xmlns:a16="http://schemas.microsoft.com/office/drawing/2014/main" id="{00000000-0008-0000-3B00-00002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7"/>
          <a:extLst>
            <a:ext uri="{FF2B5EF4-FFF2-40B4-BE49-F238E27FC236}">
              <a16:creationId xmlns:a16="http://schemas.microsoft.com/office/drawing/2014/main" id="{00000000-0008-0000-3B00-00002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7" name="Obrázek 46">
          <a:hlinkClick xmlns:r="http://schemas.openxmlformats.org/officeDocument/2006/relationships" r:id="rId3"/>
          <a:extLst>
            <a:ext uri="{FF2B5EF4-FFF2-40B4-BE49-F238E27FC236}">
              <a16:creationId xmlns:a16="http://schemas.microsoft.com/office/drawing/2014/main" id="{00000000-0008-0000-3B00-00002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8" name="Obrázek 47">
          <a:hlinkClick xmlns:r="http://schemas.openxmlformats.org/officeDocument/2006/relationships" r:id="rId5"/>
          <a:extLst>
            <a:ext uri="{FF2B5EF4-FFF2-40B4-BE49-F238E27FC236}">
              <a16:creationId xmlns:a16="http://schemas.microsoft.com/office/drawing/2014/main" id="{00000000-0008-0000-3B00-00003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9" name="Obrázek 48">
          <a:hlinkClick xmlns:r="http://schemas.openxmlformats.org/officeDocument/2006/relationships" r:id="rId7"/>
          <a:extLst>
            <a:ext uri="{FF2B5EF4-FFF2-40B4-BE49-F238E27FC236}">
              <a16:creationId xmlns:a16="http://schemas.microsoft.com/office/drawing/2014/main" id="{00000000-0008-0000-3B00-00003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50" name="Obrázek 49">
          <a:hlinkClick xmlns:r="http://schemas.openxmlformats.org/officeDocument/2006/relationships" r:id="rId12"/>
          <a:extLst>
            <a:ext uri="{FF2B5EF4-FFF2-40B4-BE49-F238E27FC236}">
              <a16:creationId xmlns:a16="http://schemas.microsoft.com/office/drawing/2014/main" id="{00000000-0008-0000-3B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51" name="Obrázek 50">
          <a:hlinkClick xmlns:r="http://schemas.openxmlformats.org/officeDocument/2006/relationships" r:id="rId13"/>
          <a:extLst>
            <a:ext uri="{FF2B5EF4-FFF2-40B4-BE49-F238E27FC236}">
              <a16:creationId xmlns:a16="http://schemas.microsoft.com/office/drawing/2014/main" id="{00000000-0008-0000-3B00-00003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52" name="Obrázek 51">
          <a:hlinkClick xmlns:r="http://schemas.openxmlformats.org/officeDocument/2006/relationships" r:id="rId14"/>
          <a:extLst>
            <a:ext uri="{FF2B5EF4-FFF2-40B4-BE49-F238E27FC236}">
              <a16:creationId xmlns:a16="http://schemas.microsoft.com/office/drawing/2014/main" id="{00000000-0008-0000-3B00-00003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3C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3C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3C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3C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3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3C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3C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3C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3C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3C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3C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3C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3C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3C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3C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3C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3C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3C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3C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3C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3C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3C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3C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3C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3C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3C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3C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3C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3C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3C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3C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3C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3C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3C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3C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3C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3C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0"/>
          <a:extLst>
            <a:ext uri="{FF2B5EF4-FFF2-40B4-BE49-F238E27FC236}">
              <a16:creationId xmlns:a16="http://schemas.microsoft.com/office/drawing/2014/main" id="{00000000-0008-0000-3C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1"/>
          <a:extLst>
            <a:ext uri="{FF2B5EF4-FFF2-40B4-BE49-F238E27FC236}">
              <a16:creationId xmlns:a16="http://schemas.microsoft.com/office/drawing/2014/main" id="{00000000-0008-0000-3C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12"/>
          <a:extLst>
            <a:ext uri="{FF2B5EF4-FFF2-40B4-BE49-F238E27FC236}">
              <a16:creationId xmlns:a16="http://schemas.microsoft.com/office/drawing/2014/main" id="{00000000-0008-0000-3C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3D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3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3D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3D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3D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3D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3D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3D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3D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3D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3D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3D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3D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3D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3D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3D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3D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3D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3D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3D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3D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3D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3D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3D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3D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3D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3D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3D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3D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3D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3D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3D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3D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3D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3D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3D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3D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0"/>
          <a:extLst>
            <a:ext uri="{FF2B5EF4-FFF2-40B4-BE49-F238E27FC236}">
              <a16:creationId xmlns:a16="http://schemas.microsoft.com/office/drawing/2014/main" id="{00000000-0008-0000-3D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1"/>
          <a:extLst>
            <a:ext uri="{FF2B5EF4-FFF2-40B4-BE49-F238E27FC236}">
              <a16:creationId xmlns:a16="http://schemas.microsoft.com/office/drawing/2014/main" id="{00000000-0008-0000-3D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12"/>
          <a:extLst>
            <a:ext uri="{FF2B5EF4-FFF2-40B4-BE49-F238E27FC236}">
              <a16:creationId xmlns:a16="http://schemas.microsoft.com/office/drawing/2014/main" id="{00000000-0008-0000-3D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3E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3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3E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3E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3E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3E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3E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3E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3E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3E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3E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3E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3E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3E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3E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3E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3E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3E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3E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3E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3E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3E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3E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3E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3E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3E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3E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3E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3E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3E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3E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3E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3E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3E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3E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3E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3E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0"/>
          <a:extLst>
            <a:ext uri="{FF2B5EF4-FFF2-40B4-BE49-F238E27FC236}">
              <a16:creationId xmlns:a16="http://schemas.microsoft.com/office/drawing/2014/main" id="{00000000-0008-0000-3E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1"/>
          <a:extLst>
            <a:ext uri="{FF2B5EF4-FFF2-40B4-BE49-F238E27FC236}">
              <a16:creationId xmlns:a16="http://schemas.microsoft.com/office/drawing/2014/main" id="{00000000-0008-0000-3E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12"/>
          <a:extLst>
            <a:ext uri="{FF2B5EF4-FFF2-40B4-BE49-F238E27FC236}">
              <a16:creationId xmlns:a16="http://schemas.microsoft.com/office/drawing/2014/main" id="{00000000-0008-0000-3E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3F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3F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3F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3F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3F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3F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3F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3F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3F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3F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3F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3F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3F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3F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3F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3F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3F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3F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3F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3F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3F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3F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3F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3F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3F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3F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3F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3F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3F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3F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3F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3F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3F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3F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3F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3F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3F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0"/>
          <a:extLst>
            <a:ext uri="{FF2B5EF4-FFF2-40B4-BE49-F238E27FC236}">
              <a16:creationId xmlns:a16="http://schemas.microsoft.com/office/drawing/2014/main" id="{00000000-0008-0000-3F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1"/>
          <a:extLst>
            <a:ext uri="{FF2B5EF4-FFF2-40B4-BE49-F238E27FC236}">
              <a16:creationId xmlns:a16="http://schemas.microsoft.com/office/drawing/2014/main" id="{00000000-0008-0000-3F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12"/>
          <a:extLst>
            <a:ext uri="{FF2B5EF4-FFF2-40B4-BE49-F238E27FC236}">
              <a16:creationId xmlns:a16="http://schemas.microsoft.com/office/drawing/2014/main" id="{00000000-0008-0000-3F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0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0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0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0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0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0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0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0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0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0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0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0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0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0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0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0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0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0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0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0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0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0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0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0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0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0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0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0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0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0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0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1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1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1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1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1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1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1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1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1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1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1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1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1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1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1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1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1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1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1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1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1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1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1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1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1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1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1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1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1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1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1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1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1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1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1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1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1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1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3551798</xdr:colOff>
      <xdr:row>1</xdr:row>
      <xdr:rowOff>62900</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1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51798" y="558200"/>
          <a:ext cx="571629" cy="23530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7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7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7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7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7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7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72425</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7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39125"/>
          <a:ext cx="571629" cy="235302"/>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2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2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2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2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2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2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2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2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2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2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2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2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2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2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2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2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2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2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2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2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2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2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2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2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2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2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2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0"/>
          <a:extLst>
            <a:ext uri="{FF2B5EF4-FFF2-40B4-BE49-F238E27FC236}">
              <a16:creationId xmlns:a16="http://schemas.microsoft.com/office/drawing/2014/main" id="{00000000-0008-0000-42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1"/>
          <a:extLst>
            <a:ext uri="{FF2B5EF4-FFF2-40B4-BE49-F238E27FC236}">
              <a16:creationId xmlns:a16="http://schemas.microsoft.com/office/drawing/2014/main" id="{00000000-0008-0000-42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12"/>
          <a:extLst>
            <a:ext uri="{FF2B5EF4-FFF2-40B4-BE49-F238E27FC236}">
              <a16:creationId xmlns:a16="http://schemas.microsoft.com/office/drawing/2014/main" id="{00000000-0008-0000-42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3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3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3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3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3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3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3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3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3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3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3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3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3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3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3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3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3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3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3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3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3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3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3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3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3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3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3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3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3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3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3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3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3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3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3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3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4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4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4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4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4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4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4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4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4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4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4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4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4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4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4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4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4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4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4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4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4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4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4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4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4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4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4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4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4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0"/>
          <a:extLst>
            <a:ext uri="{FF2B5EF4-FFF2-40B4-BE49-F238E27FC236}">
              <a16:creationId xmlns:a16="http://schemas.microsoft.com/office/drawing/2014/main" id="{00000000-0008-0000-44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11"/>
          <a:extLst>
            <a:ext uri="{FF2B5EF4-FFF2-40B4-BE49-F238E27FC236}">
              <a16:creationId xmlns:a16="http://schemas.microsoft.com/office/drawing/2014/main" id="{00000000-0008-0000-44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12"/>
          <a:extLst>
            <a:ext uri="{FF2B5EF4-FFF2-40B4-BE49-F238E27FC236}">
              <a16:creationId xmlns:a16="http://schemas.microsoft.com/office/drawing/2014/main" id="{00000000-0008-0000-44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5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5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5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5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5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5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5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5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5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5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5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5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5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5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5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5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5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5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5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5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5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5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5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5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5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5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5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5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5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5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5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5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5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5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5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5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5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5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5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72425</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5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05850"/>
          <a:ext cx="571629" cy="235302"/>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6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6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6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6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6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6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6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6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6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6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6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6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6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6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6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6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6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6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6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6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6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6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6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6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6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6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6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6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6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6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6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6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6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6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6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6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6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6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6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7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7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7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7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7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7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7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7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7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7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7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7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7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7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7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7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7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7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7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7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7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7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7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7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7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7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7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7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7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7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7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7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7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7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7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7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7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7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7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7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7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7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7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7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8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1"/>
          <a:extLst>
            <a:ext uri="{FF2B5EF4-FFF2-40B4-BE49-F238E27FC236}">
              <a16:creationId xmlns:a16="http://schemas.microsoft.com/office/drawing/2014/main" id="{00000000-0008-0000-4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3"/>
          <a:extLst>
            <a:ext uri="{FF2B5EF4-FFF2-40B4-BE49-F238E27FC236}">
              <a16:creationId xmlns:a16="http://schemas.microsoft.com/office/drawing/2014/main" id="{00000000-0008-0000-4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5"/>
          <a:extLst>
            <a:ext uri="{FF2B5EF4-FFF2-40B4-BE49-F238E27FC236}">
              <a16:creationId xmlns:a16="http://schemas.microsoft.com/office/drawing/2014/main" id="{00000000-0008-0000-48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48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48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48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8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8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8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8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8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8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8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8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8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8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8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8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8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8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8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8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8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8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8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8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8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8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8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8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8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8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8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8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8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8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8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8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8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8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8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8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10"/>
          <a:extLst>
            <a:ext uri="{FF2B5EF4-FFF2-40B4-BE49-F238E27FC236}">
              <a16:creationId xmlns:a16="http://schemas.microsoft.com/office/drawing/2014/main" id="{00000000-0008-0000-48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11"/>
          <a:extLst>
            <a:ext uri="{FF2B5EF4-FFF2-40B4-BE49-F238E27FC236}">
              <a16:creationId xmlns:a16="http://schemas.microsoft.com/office/drawing/2014/main" id="{00000000-0008-0000-48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9" name="Obrázek 48">
          <a:hlinkClick xmlns:r="http://schemas.openxmlformats.org/officeDocument/2006/relationships" r:id="rId12"/>
          <a:extLst>
            <a:ext uri="{FF2B5EF4-FFF2-40B4-BE49-F238E27FC236}">
              <a16:creationId xmlns:a16="http://schemas.microsoft.com/office/drawing/2014/main" id="{00000000-0008-0000-48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49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twoCellAnchor>
  <xdr:oneCellAnchor>
    <xdr:from>
      <xdr:col>0</xdr:col>
      <xdr:colOff>2336321</xdr:colOff>
      <xdr:row>1</xdr:row>
      <xdr:rowOff>50816</xdr:rowOff>
    </xdr:from>
    <xdr:ext cx="341463" cy="226130"/>
    <xdr:pic>
      <xdr:nvPicPr>
        <xdr:cNvPr id="5" name="Obrázek 4">
          <a:hlinkClick xmlns:r="http://schemas.openxmlformats.org/officeDocument/2006/relationships" r:id="rId7"/>
          <a:extLst>
            <a:ext uri="{FF2B5EF4-FFF2-40B4-BE49-F238E27FC236}">
              <a16:creationId xmlns:a16="http://schemas.microsoft.com/office/drawing/2014/main" id="{00000000-0008-0000-4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89016"/>
          <a:ext cx="341463" cy="226130"/>
        </a:xfrm>
        <a:prstGeom prst="rect">
          <a:avLst/>
        </a:prstGeom>
      </xdr:spPr>
    </xdr:pic>
    <xdr:clientData/>
  </xdr:oneCellAnchor>
  <xdr:oneCellAnchor>
    <xdr:from>
      <xdr:col>0</xdr:col>
      <xdr:colOff>2944601</xdr:colOff>
      <xdr:row>1</xdr:row>
      <xdr:rowOff>58190</xdr:rowOff>
    </xdr:from>
    <xdr:ext cx="353208" cy="233970"/>
    <xdr:pic>
      <xdr:nvPicPr>
        <xdr:cNvPr id="6" name="Obrázek 5">
          <a:hlinkClick xmlns:r="http://schemas.openxmlformats.org/officeDocument/2006/relationships" r:id="rId8"/>
          <a:extLst>
            <a:ext uri="{FF2B5EF4-FFF2-40B4-BE49-F238E27FC236}">
              <a16:creationId xmlns:a16="http://schemas.microsoft.com/office/drawing/2014/main" id="{00000000-0008-0000-49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96390"/>
          <a:ext cx="353208" cy="233970"/>
        </a:xfrm>
        <a:prstGeom prst="rect">
          <a:avLst/>
        </a:prstGeom>
      </xdr:spPr>
    </xdr:pic>
    <xdr:clientData/>
  </xdr:oneCellAnchor>
  <xdr:oneCellAnchor>
    <xdr:from>
      <xdr:col>0</xdr:col>
      <xdr:colOff>3570848</xdr:colOff>
      <xdr:row>1</xdr:row>
      <xdr:rowOff>62900</xdr:rowOff>
    </xdr:from>
    <xdr:ext cx="571629" cy="235302"/>
    <xdr:pic>
      <xdr:nvPicPr>
        <xdr:cNvPr id="7" name="Obrázek 6">
          <a:hlinkClick xmlns:r="http://schemas.openxmlformats.org/officeDocument/2006/relationships" r:id="rId9"/>
          <a:extLst>
            <a:ext uri="{FF2B5EF4-FFF2-40B4-BE49-F238E27FC236}">
              <a16:creationId xmlns:a16="http://schemas.microsoft.com/office/drawing/2014/main" id="{00000000-0008-0000-49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901100"/>
          <a:ext cx="571629" cy="235302"/>
        </a:xfrm>
        <a:prstGeom prst="rect">
          <a:avLst/>
        </a:prstGeom>
      </xdr:spPr>
    </xdr:pic>
    <xdr:clientData/>
  </xdr:oneCellAnchor>
  <xdr:oneCellAnchor>
    <xdr:from>
      <xdr:col>0</xdr:col>
      <xdr:colOff>2336321</xdr:colOff>
      <xdr:row>1</xdr:row>
      <xdr:rowOff>50816</xdr:rowOff>
    </xdr:from>
    <xdr:ext cx="341463" cy="226130"/>
    <xdr:pic>
      <xdr:nvPicPr>
        <xdr:cNvPr id="8" name="Obrázek 7">
          <a:hlinkClick xmlns:r="http://schemas.openxmlformats.org/officeDocument/2006/relationships" r:id="rId1"/>
          <a:extLst>
            <a:ext uri="{FF2B5EF4-FFF2-40B4-BE49-F238E27FC236}">
              <a16:creationId xmlns:a16="http://schemas.microsoft.com/office/drawing/2014/main" id="{00000000-0008-0000-49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9" name="Obrázek 8">
          <a:hlinkClick xmlns:r="http://schemas.openxmlformats.org/officeDocument/2006/relationships" r:id="rId3"/>
          <a:extLst>
            <a:ext uri="{FF2B5EF4-FFF2-40B4-BE49-F238E27FC236}">
              <a16:creationId xmlns:a16="http://schemas.microsoft.com/office/drawing/2014/main" id="{00000000-0008-0000-4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0" name="Obrázek 9">
          <a:hlinkClick xmlns:r="http://schemas.openxmlformats.org/officeDocument/2006/relationships" r:id="rId5"/>
          <a:extLst>
            <a:ext uri="{FF2B5EF4-FFF2-40B4-BE49-F238E27FC236}">
              <a16:creationId xmlns:a16="http://schemas.microsoft.com/office/drawing/2014/main" id="{00000000-0008-0000-4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49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49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49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49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49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49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17" name="Obrázek 16">
          <a:hlinkClick xmlns:r="http://schemas.openxmlformats.org/officeDocument/2006/relationships" r:id="rId1"/>
          <a:extLst>
            <a:ext uri="{FF2B5EF4-FFF2-40B4-BE49-F238E27FC236}">
              <a16:creationId xmlns:a16="http://schemas.microsoft.com/office/drawing/2014/main" id="{00000000-0008-0000-49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18" name="Obrázek 17">
          <a:hlinkClick xmlns:r="http://schemas.openxmlformats.org/officeDocument/2006/relationships" r:id="rId3"/>
          <a:extLst>
            <a:ext uri="{FF2B5EF4-FFF2-40B4-BE49-F238E27FC236}">
              <a16:creationId xmlns:a16="http://schemas.microsoft.com/office/drawing/2014/main" id="{00000000-0008-0000-49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19" name="Obrázek 18">
          <a:hlinkClick xmlns:r="http://schemas.openxmlformats.org/officeDocument/2006/relationships" r:id="rId5"/>
          <a:extLst>
            <a:ext uri="{FF2B5EF4-FFF2-40B4-BE49-F238E27FC236}">
              <a16:creationId xmlns:a16="http://schemas.microsoft.com/office/drawing/2014/main" id="{00000000-0008-0000-49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49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49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49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7"/>
          <a:extLst>
            <a:ext uri="{FF2B5EF4-FFF2-40B4-BE49-F238E27FC236}">
              <a16:creationId xmlns:a16="http://schemas.microsoft.com/office/drawing/2014/main" id="{00000000-0008-0000-49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8"/>
          <a:extLst>
            <a:ext uri="{FF2B5EF4-FFF2-40B4-BE49-F238E27FC236}">
              <a16:creationId xmlns:a16="http://schemas.microsoft.com/office/drawing/2014/main" id="{00000000-0008-0000-49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9"/>
          <a:extLst>
            <a:ext uri="{FF2B5EF4-FFF2-40B4-BE49-F238E27FC236}">
              <a16:creationId xmlns:a16="http://schemas.microsoft.com/office/drawing/2014/main" id="{00000000-0008-0000-49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26" name="Obrázek 25">
          <a:hlinkClick xmlns:r="http://schemas.openxmlformats.org/officeDocument/2006/relationships" r:id="rId1"/>
          <a:extLst>
            <a:ext uri="{FF2B5EF4-FFF2-40B4-BE49-F238E27FC236}">
              <a16:creationId xmlns:a16="http://schemas.microsoft.com/office/drawing/2014/main" id="{00000000-0008-0000-49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7" name="Obrázek 26">
          <a:hlinkClick xmlns:r="http://schemas.openxmlformats.org/officeDocument/2006/relationships" r:id="rId3"/>
          <a:extLst>
            <a:ext uri="{FF2B5EF4-FFF2-40B4-BE49-F238E27FC236}">
              <a16:creationId xmlns:a16="http://schemas.microsoft.com/office/drawing/2014/main" id="{00000000-0008-0000-49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8" name="Obrázek 27">
          <a:hlinkClick xmlns:r="http://schemas.openxmlformats.org/officeDocument/2006/relationships" r:id="rId5"/>
          <a:extLst>
            <a:ext uri="{FF2B5EF4-FFF2-40B4-BE49-F238E27FC236}">
              <a16:creationId xmlns:a16="http://schemas.microsoft.com/office/drawing/2014/main" id="{00000000-0008-0000-4900-00001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29" name="Obrázek 28">
          <a:hlinkClick xmlns:r="http://schemas.openxmlformats.org/officeDocument/2006/relationships" r:id="rId1"/>
          <a:extLst>
            <a:ext uri="{FF2B5EF4-FFF2-40B4-BE49-F238E27FC236}">
              <a16:creationId xmlns:a16="http://schemas.microsoft.com/office/drawing/2014/main" id="{00000000-0008-0000-49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0" name="Obrázek 29">
          <a:hlinkClick xmlns:r="http://schemas.openxmlformats.org/officeDocument/2006/relationships" r:id="rId3"/>
          <a:extLst>
            <a:ext uri="{FF2B5EF4-FFF2-40B4-BE49-F238E27FC236}">
              <a16:creationId xmlns:a16="http://schemas.microsoft.com/office/drawing/2014/main" id="{00000000-0008-0000-49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1" name="Obrázek 30">
          <a:hlinkClick xmlns:r="http://schemas.openxmlformats.org/officeDocument/2006/relationships" r:id="rId5"/>
          <a:extLst>
            <a:ext uri="{FF2B5EF4-FFF2-40B4-BE49-F238E27FC236}">
              <a16:creationId xmlns:a16="http://schemas.microsoft.com/office/drawing/2014/main" id="{00000000-0008-0000-4900-00001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2" name="Obrázek 31">
          <a:hlinkClick xmlns:r="http://schemas.openxmlformats.org/officeDocument/2006/relationships" r:id="rId1"/>
          <a:extLst>
            <a:ext uri="{FF2B5EF4-FFF2-40B4-BE49-F238E27FC236}">
              <a16:creationId xmlns:a16="http://schemas.microsoft.com/office/drawing/2014/main" id="{00000000-0008-0000-49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3" name="Obrázek 32">
          <a:hlinkClick xmlns:r="http://schemas.openxmlformats.org/officeDocument/2006/relationships" r:id="rId3"/>
          <a:extLst>
            <a:ext uri="{FF2B5EF4-FFF2-40B4-BE49-F238E27FC236}">
              <a16:creationId xmlns:a16="http://schemas.microsoft.com/office/drawing/2014/main" id="{00000000-0008-0000-49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34" name="Obrázek 33">
          <a:hlinkClick xmlns:r="http://schemas.openxmlformats.org/officeDocument/2006/relationships" r:id="rId5"/>
          <a:extLst>
            <a:ext uri="{FF2B5EF4-FFF2-40B4-BE49-F238E27FC236}">
              <a16:creationId xmlns:a16="http://schemas.microsoft.com/office/drawing/2014/main" id="{00000000-0008-0000-49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35" name="Obrázek 34">
          <a:hlinkClick xmlns:r="http://schemas.openxmlformats.org/officeDocument/2006/relationships" r:id="rId7"/>
          <a:extLst>
            <a:ext uri="{FF2B5EF4-FFF2-40B4-BE49-F238E27FC236}">
              <a16:creationId xmlns:a16="http://schemas.microsoft.com/office/drawing/2014/main" id="{00000000-0008-0000-49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36" name="Obrázek 35">
          <a:hlinkClick xmlns:r="http://schemas.openxmlformats.org/officeDocument/2006/relationships" r:id="rId8"/>
          <a:extLst>
            <a:ext uri="{FF2B5EF4-FFF2-40B4-BE49-F238E27FC236}">
              <a16:creationId xmlns:a16="http://schemas.microsoft.com/office/drawing/2014/main" id="{00000000-0008-0000-4900-00002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37" name="Obrázek 36">
          <a:hlinkClick xmlns:r="http://schemas.openxmlformats.org/officeDocument/2006/relationships" r:id="rId9"/>
          <a:extLst>
            <a:ext uri="{FF2B5EF4-FFF2-40B4-BE49-F238E27FC236}">
              <a16:creationId xmlns:a16="http://schemas.microsoft.com/office/drawing/2014/main" id="{00000000-0008-0000-49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38" name="Obrázek 37">
          <a:hlinkClick xmlns:r="http://schemas.openxmlformats.org/officeDocument/2006/relationships" r:id="rId1"/>
          <a:extLst>
            <a:ext uri="{FF2B5EF4-FFF2-40B4-BE49-F238E27FC236}">
              <a16:creationId xmlns:a16="http://schemas.microsoft.com/office/drawing/2014/main" id="{00000000-0008-0000-49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9" name="Obrázek 38">
          <a:hlinkClick xmlns:r="http://schemas.openxmlformats.org/officeDocument/2006/relationships" r:id="rId3"/>
          <a:extLst>
            <a:ext uri="{FF2B5EF4-FFF2-40B4-BE49-F238E27FC236}">
              <a16:creationId xmlns:a16="http://schemas.microsoft.com/office/drawing/2014/main" id="{00000000-0008-0000-49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0" name="Obrázek 39">
          <a:hlinkClick xmlns:r="http://schemas.openxmlformats.org/officeDocument/2006/relationships" r:id="rId5"/>
          <a:extLst>
            <a:ext uri="{FF2B5EF4-FFF2-40B4-BE49-F238E27FC236}">
              <a16:creationId xmlns:a16="http://schemas.microsoft.com/office/drawing/2014/main" id="{00000000-0008-0000-4900-00002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1" name="Obrázek 40">
          <a:hlinkClick xmlns:r="http://schemas.openxmlformats.org/officeDocument/2006/relationships" r:id="rId1"/>
          <a:extLst>
            <a:ext uri="{FF2B5EF4-FFF2-40B4-BE49-F238E27FC236}">
              <a16:creationId xmlns:a16="http://schemas.microsoft.com/office/drawing/2014/main" id="{00000000-0008-0000-49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2" name="Obrázek 41">
          <a:hlinkClick xmlns:r="http://schemas.openxmlformats.org/officeDocument/2006/relationships" r:id="rId3"/>
          <a:extLst>
            <a:ext uri="{FF2B5EF4-FFF2-40B4-BE49-F238E27FC236}">
              <a16:creationId xmlns:a16="http://schemas.microsoft.com/office/drawing/2014/main" id="{00000000-0008-0000-49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3" name="Obrázek 42">
          <a:hlinkClick xmlns:r="http://schemas.openxmlformats.org/officeDocument/2006/relationships" r:id="rId5"/>
          <a:extLst>
            <a:ext uri="{FF2B5EF4-FFF2-40B4-BE49-F238E27FC236}">
              <a16:creationId xmlns:a16="http://schemas.microsoft.com/office/drawing/2014/main" id="{00000000-0008-0000-4900-00002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44" name="Obrázek 43">
          <a:hlinkClick xmlns:r="http://schemas.openxmlformats.org/officeDocument/2006/relationships" r:id="rId1"/>
          <a:extLst>
            <a:ext uri="{FF2B5EF4-FFF2-40B4-BE49-F238E27FC236}">
              <a16:creationId xmlns:a16="http://schemas.microsoft.com/office/drawing/2014/main" id="{00000000-0008-0000-49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45" name="Obrázek 44">
          <a:hlinkClick xmlns:r="http://schemas.openxmlformats.org/officeDocument/2006/relationships" r:id="rId3"/>
          <a:extLst>
            <a:ext uri="{FF2B5EF4-FFF2-40B4-BE49-F238E27FC236}">
              <a16:creationId xmlns:a16="http://schemas.microsoft.com/office/drawing/2014/main" id="{00000000-0008-0000-49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6" name="Obrázek 45">
          <a:hlinkClick xmlns:r="http://schemas.openxmlformats.org/officeDocument/2006/relationships" r:id="rId5"/>
          <a:extLst>
            <a:ext uri="{FF2B5EF4-FFF2-40B4-BE49-F238E27FC236}">
              <a16:creationId xmlns:a16="http://schemas.microsoft.com/office/drawing/2014/main" id="{00000000-0008-0000-49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oneCellAnchor>
    <xdr:from>
      <xdr:col>0</xdr:col>
      <xdr:colOff>2336321</xdr:colOff>
      <xdr:row>1</xdr:row>
      <xdr:rowOff>50816</xdr:rowOff>
    </xdr:from>
    <xdr:ext cx="341463" cy="226130"/>
    <xdr:pic>
      <xdr:nvPicPr>
        <xdr:cNvPr id="47" name="Obrázek 46">
          <a:hlinkClick xmlns:r="http://schemas.openxmlformats.org/officeDocument/2006/relationships" r:id="rId7"/>
          <a:extLst>
            <a:ext uri="{FF2B5EF4-FFF2-40B4-BE49-F238E27FC236}">
              <a16:creationId xmlns:a16="http://schemas.microsoft.com/office/drawing/2014/main" id="{00000000-0008-0000-49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oneCellAnchor>
  <xdr:oneCellAnchor>
    <xdr:from>
      <xdr:col>0</xdr:col>
      <xdr:colOff>2944601</xdr:colOff>
      <xdr:row>1</xdr:row>
      <xdr:rowOff>58190</xdr:rowOff>
    </xdr:from>
    <xdr:ext cx="353208" cy="233970"/>
    <xdr:pic>
      <xdr:nvPicPr>
        <xdr:cNvPr id="48" name="Obrázek 47">
          <a:hlinkClick xmlns:r="http://schemas.openxmlformats.org/officeDocument/2006/relationships" r:id="rId8"/>
          <a:extLst>
            <a:ext uri="{FF2B5EF4-FFF2-40B4-BE49-F238E27FC236}">
              <a16:creationId xmlns:a16="http://schemas.microsoft.com/office/drawing/2014/main" id="{00000000-0008-0000-49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oneCellAnchor>
  <xdr:oneCellAnchor>
    <xdr:from>
      <xdr:col>0</xdr:col>
      <xdr:colOff>3570848</xdr:colOff>
      <xdr:row>1</xdr:row>
      <xdr:rowOff>62900</xdr:rowOff>
    </xdr:from>
    <xdr:ext cx="571629" cy="235302"/>
    <xdr:pic>
      <xdr:nvPicPr>
        <xdr:cNvPr id="49" name="Obrázek 48">
          <a:hlinkClick xmlns:r="http://schemas.openxmlformats.org/officeDocument/2006/relationships" r:id="rId9"/>
          <a:extLst>
            <a:ext uri="{FF2B5EF4-FFF2-40B4-BE49-F238E27FC236}">
              <a16:creationId xmlns:a16="http://schemas.microsoft.com/office/drawing/2014/main" id="{00000000-0008-0000-4900-00003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8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8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8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9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9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9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9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9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0"/>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11"/>
          <a:extLst>
            <a:ext uri="{FF2B5EF4-FFF2-40B4-BE49-F238E27FC236}">
              <a16:creationId xmlns:a16="http://schemas.microsoft.com/office/drawing/2014/main" id="{00000000-0008-0000-0A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12"/>
          <a:extLst>
            <a:ext uri="{FF2B5EF4-FFF2-40B4-BE49-F238E27FC236}">
              <a16:creationId xmlns:a16="http://schemas.microsoft.com/office/drawing/2014/main" id="{00000000-0008-0000-0A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2336321</xdr:colOff>
      <xdr:row>1</xdr:row>
      <xdr:rowOff>50816</xdr:rowOff>
    </xdr:from>
    <xdr:to>
      <xdr:col>0</xdr:col>
      <xdr:colOff>2677784</xdr:colOff>
      <xdr:row>1</xdr:row>
      <xdr:rowOff>276946</xdr:rowOff>
    </xdr:to>
    <xdr:pic>
      <xdr:nvPicPr>
        <xdr:cNvPr id="2" name="Obrázek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3" name="Obrázek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4" name="Obrázek 3">
          <a:hlinkClick xmlns:r="http://schemas.openxmlformats.org/officeDocument/2006/relationships" r:id="rId5"/>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5" name="Obrázek 4">
          <a:hlinkClick xmlns:r="http://schemas.openxmlformats.org/officeDocument/2006/relationships" r:id="rId1"/>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1698641"/>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6" name="Obrázek 5">
          <a:hlinkClick xmlns:r="http://schemas.openxmlformats.org/officeDocument/2006/relationships" r:id="rId3"/>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1706015"/>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7" name="Obrázek 6">
          <a:hlinkClick xmlns:r="http://schemas.openxmlformats.org/officeDocument/2006/relationships" r:id="rId5"/>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1710725"/>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8" name="Obrázek 7">
          <a:hlinkClick xmlns:r="http://schemas.openxmlformats.org/officeDocument/2006/relationships" r:id="rId1"/>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9" name="Obrázek 8">
          <a:hlinkClick xmlns:r="http://schemas.openxmlformats.org/officeDocument/2006/relationships" r:id="rId3"/>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0" name="Obrázek 9">
          <a:hlinkClick xmlns:r="http://schemas.openxmlformats.org/officeDocument/2006/relationships" r:id="rId5"/>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twoCellAnchor>
  <xdr:oneCellAnchor>
    <xdr:from>
      <xdr:col>0</xdr:col>
      <xdr:colOff>2336321</xdr:colOff>
      <xdr:row>1</xdr:row>
      <xdr:rowOff>50816</xdr:rowOff>
    </xdr:from>
    <xdr:ext cx="341463" cy="226130"/>
    <xdr:pic>
      <xdr:nvPicPr>
        <xdr:cNvPr id="11" name="Obrázek 10">
          <a:hlinkClick xmlns:r="http://schemas.openxmlformats.org/officeDocument/2006/relationships" r:id="rId7"/>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869966"/>
          <a:ext cx="341463" cy="226130"/>
        </a:xfrm>
        <a:prstGeom prst="rect">
          <a:avLst/>
        </a:prstGeom>
      </xdr:spPr>
    </xdr:pic>
    <xdr:clientData/>
  </xdr:oneCellAnchor>
  <xdr:oneCellAnchor>
    <xdr:from>
      <xdr:col>0</xdr:col>
      <xdr:colOff>2944601</xdr:colOff>
      <xdr:row>1</xdr:row>
      <xdr:rowOff>58190</xdr:rowOff>
    </xdr:from>
    <xdr:ext cx="353208" cy="233970"/>
    <xdr:pic>
      <xdr:nvPicPr>
        <xdr:cNvPr id="12" name="Obrázek 11">
          <a:hlinkClick xmlns:r="http://schemas.openxmlformats.org/officeDocument/2006/relationships" r:id="rId8"/>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877340"/>
          <a:ext cx="353208" cy="233970"/>
        </a:xfrm>
        <a:prstGeom prst="rect">
          <a:avLst/>
        </a:prstGeom>
      </xdr:spPr>
    </xdr:pic>
    <xdr:clientData/>
  </xdr:oneCellAnchor>
  <xdr:oneCellAnchor>
    <xdr:from>
      <xdr:col>0</xdr:col>
      <xdr:colOff>3570848</xdr:colOff>
      <xdr:row>1</xdr:row>
      <xdr:rowOff>62900</xdr:rowOff>
    </xdr:from>
    <xdr:ext cx="571629" cy="235302"/>
    <xdr:pic>
      <xdr:nvPicPr>
        <xdr:cNvPr id="13" name="Obrázek 12">
          <a:hlinkClick xmlns:r="http://schemas.openxmlformats.org/officeDocument/2006/relationships" r:id="rId9"/>
          <a:extLst>
            <a:ext uri="{FF2B5EF4-FFF2-40B4-BE49-F238E27FC236}">
              <a16:creationId xmlns:a16="http://schemas.microsoft.com/office/drawing/2014/main" id="{00000000-0008-0000-0B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882050"/>
          <a:ext cx="571629" cy="235302"/>
        </a:xfrm>
        <a:prstGeom prst="rect">
          <a:avLst/>
        </a:prstGeom>
      </xdr:spPr>
    </xdr:pic>
    <xdr:clientData/>
  </xdr:oneCellAnchor>
  <xdr:twoCellAnchor editAs="oneCell">
    <xdr:from>
      <xdr:col>0</xdr:col>
      <xdr:colOff>2336321</xdr:colOff>
      <xdr:row>1</xdr:row>
      <xdr:rowOff>50816</xdr:rowOff>
    </xdr:from>
    <xdr:to>
      <xdr:col>0</xdr:col>
      <xdr:colOff>2677784</xdr:colOff>
      <xdr:row>1</xdr:row>
      <xdr:rowOff>276946</xdr:rowOff>
    </xdr:to>
    <xdr:pic>
      <xdr:nvPicPr>
        <xdr:cNvPr id="14" name="Obrázek 13">
          <a:hlinkClick xmlns:r="http://schemas.openxmlformats.org/officeDocument/2006/relationships" r:id="rId1"/>
          <a:extLst>
            <a:ext uri="{FF2B5EF4-FFF2-40B4-BE49-F238E27FC236}">
              <a16:creationId xmlns:a16="http://schemas.microsoft.com/office/drawing/2014/main" id="{00000000-0008-0000-0B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5" name="Obrázek 14">
          <a:hlinkClick xmlns:r="http://schemas.openxmlformats.org/officeDocument/2006/relationships" r:id="rId3"/>
          <a:extLst>
            <a:ext uri="{FF2B5EF4-FFF2-40B4-BE49-F238E27FC236}">
              <a16:creationId xmlns:a16="http://schemas.microsoft.com/office/drawing/2014/main" id="{00000000-0008-0000-0B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6" name="Obrázek 15">
          <a:hlinkClick xmlns:r="http://schemas.openxmlformats.org/officeDocument/2006/relationships" r:id="rId5"/>
          <a:extLst>
            <a:ext uri="{FF2B5EF4-FFF2-40B4-BE49-F238E27FC236}">
              <a16:creationId xmlns:a16="http://schemas.microsoft.com/office/drawing/2014/main" id="{00000000-0008-0000-0B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17" name="Obrázek 16">
          <a:hlinkClick xmlns:r="http://schemas.openxmlformats.org/officeDocument/2006/relationships" r:id="rId1"/>
          <a:extLst>
            <a:ext uri="{FF2B5EF4-FFF2-40B4-BE49-F238E27FC236}">
              <a16:creationId xmlns:a16="http://schemas.microsoft.com/office/drawing/2014/main" id="{00000000-0008-0000-0B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18" name="Obrázek 17">
          <a:hlinkClick xmlns:r="http://schemas.openxmlformats.org/officeDocument/2006/relationships" r:id="rId3"/>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19" name="Obrázek 18">
          <a:hlinkClick xmlns:r="http://schemas.openxmlformats.org/officeDocument/2006/relationships" r:id="rId5"/>
          <a:extLst>
            <a:ext uri="{FF2B5EF4-FFF2-40B4-BE49-F238E27FC236}">
              <a16:creationId xmlns:a16="http://schemas.microsoft.com/office/drawing/2014/main" id="{00000000-0008-0000-0B00-00001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twoCellAnchor editAs="oneCell">
    <xdr:from>
      <xdr:col>0</xdr:col>
      <xdr:colOff>2336321</xdr:colOff>
      <xdr:row>1</xdr:row>
      <xdr:rowOff>50816</xdr:rowOff>
    </xdr:from>
    <xdr:to>
      <xdr:col>0</xdr:col>
      <xdr:colOff>2677784</xdr:colOff>
      <xdr:row>1</xdr:row>
      <xdr:rowOff>276946</xdr:rowOff>
    </xdr:to>
    <xdr:pic>
      <xdr:nvPicPr>
        <xdr:cNvPr id="20" name="Obrázek 19">
          <a:hlinkClick xmlns:r="http://schemas.openxmlformats.org/officeDocument/2006/relationships" r:id="rId1"/>
          <a:extLst>
            <a:ext uri="{FF2B5EF4-FFF2-40B4-BE49-F238E27FC236}">
              <a16:creationId xmlns:a16="http://schemas.microsoft.com/office/drawing/2014/main" id="{00000000-0008-0000-0B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twoCellAnchor>
  <xdr:twoCellAnchor editAs="oneCell">
    <xdr:from>
      <xdr:col>0</xdr:col>
      <xdr:colOff>2944601</xdr:colOff>
      <xdr:row>1</xdr:row>
      <xdr:rowOff>58190</xdr:rowOff>
    </xdr:from>
    <xdr:to>
      <xdr:col>0</xdr:col>
      <xdr:colOff>3297809</xdr:colOff>
      <xdr:row>1</xdr:row>
      <xdr:rowOff>292160</xdr:rowOff>
    </xdr:to>
    <xdr:pic>
      <xdr:nvPicPr>
        <xdr:cNvPr id="21" name="Obrázek 20">
          <a:hlinkClick xmlns:r="http://schemas.openxmlformats.org/officeDocument/2006/relationships" r:id="rId3"/>
          <a:extLst>
            <a:ext uri="{FF2B5EF4-FFF2-40B4-BE49-F238E27FC236}">
              <a16:creationId xmlns:a16="http://schemas.microsoft.com/office/drawing/2014/main" id="{00000000-0008-0000-0B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twoCellAnchor>
  <xdr:twoCellAnchor editAs="oneCell">
    <xdr:from>
      <xdr:col>0</xdr:col>
      <xdr:colOff>3570848</xdr:colOff>
      <xdr:row>1</xdr:row>
      <xdr:rowOff>62900</xdr:rowOff>
    </xdr:from>
    <xdr:to>
      <xdr:col>0</xdr:col>
      <xdr:colOff>4142477</xdr:colOff>
      <xdr:row>1</xdr:row>
      <xdr:rowOff>298202</xdr:rowOff>
    </xdr:to>
    <xdr:pic>
      <xdr:nvPicPr>
        <xdr:cNvPr id="22" name="Obrázek 21">
          <a:hlinkClick xmlns:r="http://schemas.openxmlformats.org/officeDocument/2006/relationships" r:id="rId5"/>
          <a:extLst>
            <a:ext uri="{FF2B5EF4-FFF2-40B4-BE49-F238E27FC236}">
              <a16:creationId xmlns:a16="http://schemas.microsoft.com/office/drawing/2014/main" id="{00000000-0008-0000-0B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twoCellAnchor>
  <xdr:oneCellAnchor>
    <xdr:from>
      <xdr:col>0</xdr:col>
      <xdr:colOff>2336321</xdr:colOff>
      <xdr:row>1</xdr:row>
      <xdr:rowOff>50816</xdr:rowOff>
    </xdr:from>
    <xdr:ext cx="341463" cy="226130"/>
    <xdr:pic>
      <xdr:nvPicPr>
        <xdr:cNvPr id="23" name="Obrázek 22">
          <a:hlinkClick xmlns:r="http://schemas.openxmlformats.org/officeDocument/2006/relationships" r:id="rId10"/>
          <a:extLst>
            <a:ext uri="{FF2B5EF4-FFF2-40B4-BE49-F238E27FC236}">
              <a16:creationId xmlns:a16="http://schemas.microsoft.com/office/drawing/2014/main" id="{00000000-0008-0000-0B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321" y="317516"/>
          <a:ext cx="341463" cy="226130"/>
        </a:xfrm>
        <a:prstGeom prst="rect">
          <a:avLst/>
        </a:prstGeom>
      </xdr:spPr>
    </xdr:pic>
    <xdr:clientData/>
  </xdr:oneCellAnchor>
  <xdr:oneCellAnchor>
    <xdr:from>
      <xdr:col>0</xdr:col>
      <xdr:colOff>2944601</xdr:colOff>
      <xdr:row>1</xdr:row>
      <xdr:rowOff>58190</xdr:rowOff>
    </xdr:from>
    <xdr:ext cx="353208" cy="233970"/>
    <xdr:pic>
      <xdr:nvPicPr>
        <xdr:cNvPr id="24" name="Obrázek 23">
          <a:hlinkClick xmlns:r="http://schemas.openxmlformats.org/officeDocument/2006/relationships" r:id="rId11"/>
          <a:extLst>
            <a:ext uri="{FF2B5EF4-FFF2-40B4-BE49-F238E27FC236}">
              <a16:creationId xmlns:a16="http://schemas.microsoft.com/office/drawing/2014/main" id="{00000000-0008-0000-0B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44601" y="324890"/>
          <a:ext cx="353208" cy="233970"/>
        </a:xfrm>
        <a:prstGeom prst="rect">
          <a:avLst/>
        </a:prstGeom>
      </xdr:spPr>
    </xdr:pic>
    <xdr:clientData/>
  </xdr:oneCellAnchor>
  <xdr:oneCellAnchor>
    <xdr:from>
      <xdr:col>0</xdr:col>
      <xdr:colOff>3570848</xdr:colOff>
      <xdr:row>1</xdr:row>
      <xdr:rowOff>62900</xdr:rowOff>
    </xdr:from>
    <xdr:ext cx="571629" cy="235302"/>
    <xdr:pic>
      <xdr:nvPicPr>
        <xdr:cNvPr id="25" name="Obrázek 24">
          <a:hlinkClick xmlns:r="http://schemas.openxmlformats.org/officeDocument/2006/relationships" r:id="rId12"/>
          <a:extLst>
            <a:ext uri="{FF2B5EF4-FFF2-40B4-BE49-F238E27FC236}">
              <a16:creationId xmlns:a16="http://schemas.microsoft.com/office/drawing/2014/main" id="{00000000-0008-0000-0B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70848" y="329600"/>
          <a:ext cx="571629" cy="235302"/>
        </a:xfrm>
        <a:prstGeom prst="rect">
          <a:avLst/>
        </a:prstGeom>
      </xdr:spPr>
    </xdr:pic>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klimasken.cz/cs/download/metodicky_list-POP7.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klimasken.cz/cs/download/metodicky_list-POP8.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klimasken.cz/cs/download/metodicky_list-POP9.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klimasken.cz/cs/download/metodicky_list-POP10.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klimasken.cz/cs/download/metodicky_list-POP11.pdf"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8.bin"/><Relationship Id="rId1" Type="http://schemas.openxmlformats.org/officeDocument/2006/relationships/hyperlink" Target="https://www.klimasken.cz/cs/download/metodicky_list-POP12.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klimasken.cz/cs/download/metodicky_list-POP13.pdf"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klimasken.cz/cs/download/metodicky_list-POP14.pdf"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9.bin"/><Relationship Id="rId1" Type="http://schemas.openxmlformats.org/officeDocument/2006/relationships/hyperlink" Target="https://www.klimasken.cz/cs/download/metodicky_list-EXP1.pdf"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0.bin"/><Relationship Id="rId1" Type="http://schemas.openxmlformats.org/officeDocument/2006/relationships/hyperlink" Target="https://www.klimasken.cz/cs/download/metodicky_list-EXP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klimasken.cz/cs/download/metodicky_list-EXP3.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1.bin"/><Relationship Id="rId1" Type="http://schemas.openxmlformats.org/officeDocument/2006/relationships/hyperlink" Target="https://www.klimasken.cz/cs/download/metodicky_list-EXP4.pdf"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klimasken.cz/cs/download/metodicky_list-EXP5.pdf"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klimasken.cz/cs/download/metodicky_list-EXP5.pdf"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2.bin"/><Relationship Id="rId1" Type="http://schemas.openxmlformats.org/officeDocument/2006/relationships/hyperlink" Target="https://www.klimasken.cz/cs/download/metodicky_list-EXP5.pdf"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4.xml.rels><?xml version="1.0" encoding="UTF-8" standalone="yes"?>
<Relationships xmlns="http://schemas.openxmlformats.org/package/2006/relationships"><Relationship Id="rId13" Type="http://schemas.openxmlformats.org/officeDocument/2006/relationships/hyperlink" Target="https://www.klimasken.cz/cs/download/metodicky_list-MIT5.pdf" TargetMode="External"/><Relationship Id="rId18" Type="http://schemas.openxmlformats.org/officeDocument/2006/relationships/hyperlink" Target="https://www.klimasken.cz/en/download/metodicky_list-MIT6.pdf" TargetMode="External"/><Relationship Id="rId26" Type="http://schemas.openxmlformats.org/officeDocument/2006/relationships/hyperlink" Target="https://www.klimasken.cz/sk/download/metodicky_list-MIT10.pdf" TargetMode="External"/><Relationship Id="rId39" Type="http://schemas.openxmlformats.org/officeDocument/2006/relationships/hyperlink" Target="https://www.klimasken.cz/en/download/metodicky_list-MIT16.pdf" TargetMode="External"/><Relationship Id="rId21" Type="http://schemas.openxmlformats.org/officeDocument/2006/relationships/hyperlink" Target="https://www.klimasken.cz/en/download/metodicky_list-MIT8.pdf" TargetMode="External"/><Relationship Id="rId34" Type="http://schemas.openxmlformats.org/officeDocument/2006/relationships/hyperlink" Target="https://www.klimasken.cz/cs/download/metodicky_list-MIT15.pdf" TargetMode="External"/><Relationship Id="rId42" Type="http://schemas.openxmlformats.org/officeDocument/2006/relationships/hyperlink" Target="https://www.klimasken.cz/en/download/metodicky_list-MIT17.pdf" TargetMode="External"/><Relationship Id="rId7" Type="http://schemas.openxmlformats.org/officeDocument/2006/relationships/hyperlink" Target="https://www.klimasken.cz/cs/download/metodicky_list-MIT2.pdf" TargetMode="External"/><Relationship Id="rId2" Type="http://schemas.openxmlformats.org/officeDocument/2006/relationships/hyperlink" Target="https://www.klimasken.cz/sk/download/metodicky_list-MIT4.pdf" TargetMode="External"/><Relationship Id="rId16" Type="http://schemas.openxmlformats.org/officeDocument/2006/relationships/hyperlink" Target="https://www.klimasken.cz/cs/download/metodicky_list-MIT6.pdf" TargetMode="External"/><Relationship Id="rId20" Type="http://schemas.openxmlformats.org/officeDocument/2006/relationships/hyperlink" Target="https://www.klimasken.cz/sk/download/metodicky_list-MIT8.pdf" TargetMode="External"/><Relationship Id="rId29" Type="http://schemas.openxmlformats.org/officeDocument/2006/relationships/hyperlink" Target="https://www.klimasken.cz/sk/download/metodicky_list-MIT13.pdf" TargetMode="External"/><Relationship Id="rId41" Type="http://schemas.openxmlformats.org/officeDocument/2006/relationships/hyperlink" Target="https://www.klimasken.cz/sk/download/metodicky_list-MIT17.pdf" TargetMode="External"/><Relationship Id="rId1" Type="http://schemas.openxmlformats.org/officeDocument/2006/relationships/hyperlink" Target="https://www.klimasken.cz/cs/download/metodicky_list-MIT4.pdf" TargetMode="External"/><Relationship Id="rId6" Type="http://schemas.openxmlformats.org/officeDocument/2006/relationships/hyperlink" Target="https://www.klimasken.cz/en/download/metodicky_list-MIT1.pdf" TargetMode="External"/><Relationship Id="rId11" Type="http://schemas.openxmlformats.org/officeDocument/2006/relationships/hyperlink" Target="https://www.klimasken.cz/sk/download/metodicky_list-MIT3.pdf" TargetMode="External"/><Relationship Id="rId24" Type="http://schemas.openxmlformats.org/officeDocument/2006/relationships/hyperlink" Target="https://www.klimasken.cz/en/download/metodicky_list-MIT9.pdf" TargetMode="External"/><Relationship Id="rId32" Type="http://schemas.openxmlformats.org/officeDocument/2006/relationships/hyperlink" Target="https://www.klimasken.cz/sk/download/metodicky_list-MIT14.pdf" TargetMode="External"/><Relationship Id="rId37" Type="http://schemas.openxmlformats.org/officeDocument/2006/relationships/hyperlink" Target="https://www.klimasken.cz/cs/download/metodicky_list-MIT16.pdf" TargetMode="External"/><Relationship Id="rId40" Type="http://schemas.openxmlformats.org/officeDocument/2006/relationships/hyperlink" Target="https://www.klimasken.cz/cs/download/metodicky_list-MIT17.pdf" TargetMode="External"/><Relationship Id="rId5" Type="http://schemas.openxmlformats.org/officeDocument/2006/relationships/hyperlink" Target="https://www.klimasken.cz/sk/download/metodicky_list-MIT1.pdf" TargetMode="External"/><Relationship Id="rId15" Type="http://schemas.openxmlformats.org/officeDocument/2006/relationships/hyperlink" Target="https://www.klimasken.cz/en/download/metodicky_list-MIT5.pdf" TargetMode="External"/><Relationship Id="rId23" Type="http://schemas.openxmlformats.org/officeDocument/2006/relationships/hyperlink" Target="https://www.klimasken.cz/sk/download/metodicky_list-MIT9.pdf" TargetMode="External"/><Relationship Id="rId28" Type="http://schemas.openxmlformats.org/officeDocument/2006/relationships/hyperlink" Target="https://www.klimasken.cz/cs/download/metodicky_list-MIT13.pdf" TargetMode="External"/><Relationship Id="rId36" Type="http://schemas.openxmlformats.org/officeDocument/2006/relationships/hyperlink" Target="https://www.klimasken.cz/en/download/metodicky_list-MIT15.pdf" TargetMode="External"/><Relationship Id="rId10" Type="http://schemas.openxmlformats.org/officeDocument/2006/relationships/hyperlink" Target="https://www.klimasken.cz/cs/download/metodicky_list-MIT3.pdf" TargetMode="External"/><Relationship Id="rId19" Type="http://schemas.openxmlformats.org/officeDocument/2006/relationships/hyperlink" Target="https://www.klimasken.cz/cs/download/metodicky_list-MIT8.pdf" TargetMode="External"/><Relationship Id="rId31" Type="http://schemas.openxmlformats.org/officeDocument/2006/relationships/hyperlink" Target="https://www.klimasken.cz/cs/download/metodicky_list-MIT14.pdf" TargetMode="External"/><Relationship Id="rId44" Type="http://schemas.openxmlformats.org/officeDocument/2006/relationships/drawing" Target="../drawings/drawing41.xml"/><Relationship Id="rId4" Type="http://schemas.openxmlformats.org/officeDocument/2006/relationships/hyperlink" Target="https://www.klimasken.cz/cs/download/metodicky_list-MIT1.pdf" TargetMode="External"/><Relationship Id="rId9" Type="http://schemas.openxmlformats.org/officeDocument/2006/relationships/hyperlink" Target="https://www.klimasken.cz/en/download/metodicky_list-MIT2.pdf" TargetMode="External"/><Relationship Id="rId14" Type="http://schemas.openxmlformats.org/officeDocument/2006/relationships/hyperlink" Target="https://www.klimasken.cz/sk/download/metodicky_list-MIT5.pdf" TargetMode="External"/><Relationship Id="rId22" Type="http://schemas.openxmlformats.org/officeDocument/2006/relationships/hyperlink" Target="https://www.klimasken.cz/cs/download/metodicky_list-MIT9.pdf" TargetMode="External"/><Relationship Id="rId27" Type="http://schemas.openxmlformats.org/officeDocument/2006/relationships/hyperlink" Target="https://www.klimasken.cz/en/download/metodicky_list-MIT10.pdf" TargetMode="External"/><Relationship Id="rId30" Type="http://schemas.openxmlformats.org/officeDocument/2006/relationships/hyperlink" Target="https://www.klimasken.cz/en/download/metodicky_list-MIT13.pdf" TargetMode="External"/><Relationship Id="rId35" Type="http://schemas.openxmlformats.org/officeDocument/2006/relationships/hyperlink" Target="https://www.klimasken.cz/sk/download/metodicky_list-MIT15.pdf" TargetMode="External"/><Relationship Id="rId43" Type="http://schemas.openxmlformats.org/officeDocument/2006/relationships/printerSettings" Target="../printerSettings/printerSettings19.bin"/><Relationship Id="rId8" Type="http://schemas.openxmlformats.org/officeDocument/2006/relationships/hyperlink" Target="https://www.klimasken.cz/sk/download/metodicky_list-MIT2.pdf" TargetMode="External"/><Relationship Id="rId3" Type="http://schemas.openxmlformats.org/officeDocument/2006/relationships/hyperlink" Target="https://www.klimasken.cz/en/download/metodicky_list-MIT4.pdf" TargetMode="External"/><Relationship Id="rId12" Type="http://schemas.openxmlformats.org/officeDocument/2006/relationships/hyperlink" Target="https://www.klimasken.cz/en/download/metodicky_list-MIT3.pdf" TargetMode="External"/><Relationship Id="rId17" Type="http://schemas.openxmlformats.org/officeDocument/2006/relationships/hyperlink" Target="https://www.klimasken.cz/sk/download/metodicky_list-MIT6.pdf" TargetMode="External"/><Relationship Id="rId25" Type="http://schemas.openxmlformats.org/officeDocument/2006/relationships/hyperlink" Target="https://www.klimasken.cz/cs/download/metodicky_list-MIT10.pdf" TargetMode="External"/><Relationship Id="rId33" Type="http://schemas.openxmlformats.org/officeDocument/2006/relationships/hyperlink" Target="https://www.klimasken.cz/en/download/metodicky_list-MIT14.pdf" TargetMode="External"/><Relationship Id="rId38" Type="http://schemas.openxmlformats.org/officeDocument/2006/relationships/hyperlink" Target="https://www.klimasken.cz/sk/download/metodicky_list-MIT16.pdf" TargetMode="Externa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klimasken.cz/cs/download/metodicky_list-POP2.pdf" TargetMode="Externa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klimasken.cz/cs/download/metodicky_list-POP3.pdf" TargetMode="Externa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klimasken.cz/cs/download/metodicky_list-POP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klimasken.cz/cs/download/metodicky_list-POP4.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klimasken.cz/cs/download/metodicky_list-POP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tabSelected="1" zoomScale="95" zoomScaleNormal="95" workbookViewId="0">
      <selection activeCell="C9" sqref="C9"/>
    </sheetView>
  </sheetViews>
  <sheetFormatPr defaultRowHeight="15" x14ac:dyDescent="0.25"/>
  <cols>
    <col min="1" max="1" width="21" bestFit="1" customWidth="1"/>
    <col min="2" max="2" width="85.85546875" customWidth="1"/>
    <col min="3" max="3" width="30.5703125" style="67" customWidth="1"/>
    <col min="4" max="4" width="22.85546875" customWidth="1"/>
    <col min="5" max="5" width="23.42578125" customWidth="1"/>
  </cols>
  <sheetData>
    <row r="1" spans="1:5" s="33" customFormat="1" ht="24" thickBot="1" x14ac:dyDescent="0.35">
      <c r="A1" s="120" t="str">
        <f>VLOOKUP(1,Lang!$A$6:$K$1006,Lang!$M$1+1,FALSE)</f>
        <v xml:space="preserve">KLIMASKEN pro města a městské části (MČ)                                                      </v>
      </c>
      <c r="B1" s="120"/>
      <c r="C1" s="61"/>
      <c r="D1" s="69" t="s">
        <v>52</v>
      </c>
      <c r="E1" s="124" t="s">
        <v>53</v>
      </c>
    </row>
    <row r="2" spans="1:5" s="33" customFormat="1" ht="45" customHeight="1" x14ac:dyDescent="0.25">
      <c r="A2" s="40" t="str">
        <f>VLOOKUP(3,Lang!$A$6:$K$1006,Lang!$M$1+1,FALSE)</f>
        <v>Identifikace města/MČ</v>
      </c>
      <c r="B2" s="41" t="str">
        <f>IF('Identifikace města-MČ'!B4="",VLOOKUP(2,Lang!$A$6:$K$1006,Lang!$M$1+1,FALSE),'Identifikace města-MČ'!B4)</f>
        <v>nezadáno</v>
      </c>
      <c r="C2" s="61"/>
    </row>
    <row r="3" spans="1:5" s="33" customFormat="1" x14ac:dyDescent="0.25">
      <c r="C3" s="61"/>
    </row>
    <row r="4" spans="1:5" s="33" customFormat="1" x14ac:dyDescent="0.25">
      <c r="C4" s="61"/>
    </row>
    <row r="5" spans="1:5" s="33" customFormat="1" ht="36.75" customHeight="1" x14ac:dyDescent="0.25">
      <c r="A5" s="34" t="str">
        <f>VLOOKUP(4,Lang!$A$6:$K$1006,Lang!$M$1+1,FALSE)</f>
        <v>List indikátoru</v>
      </c>
      <c r="B5" s="34" t="str">
        <f>VLOOKUP(5,Lang!$A$6:$K$1006,Lang!$M$1+1,FALSE)</f>
        <v>Indikátor</v>
      </c>
      <c r="C5" s="89" t="str">
        <f>VLOOKUP(6,Lang!$A$6:$K$1006,Lang!$M$1+1,FALSE)</f>
        <v xml:space="preserve">Zadaná/vypočítaná hodnota </v>
      </c>
    </row>
    <row r="6" spans="1:5" s="33" customFormat="1" ht="15" customHeight="1" x14ac:dyDescent="0.25">
      <c r="A6" s="79" t="s">
        <v>232</v>
      </c>
      <c r="B6" s="35" t="str">
        <f>VLOOKUP(7,Lang!$A$6:$K$1006,Lang!$M$1+1,FALSE)</f>
        <v xml:space="preserve">Počet obyvatel </v>
      </c>
      <c r="C6" s="62" t="str">
        <f>IF('M-POP1'!B4="",VLOOKUP(2,Lang!$A$6:$K$1006,Lang!$M$1+1,FALSE),'M-POP1'!B4)</f>
        <v>nezadáno</v>
      </c>
    </row>
    <row r="7" spans="1:5" s="33" customFormat="1" ht="15" customHeight="1" x14ac:dyDescent="0.25">
      <c r="A7" s="79" t="s">
        <v>233</v>
      </c>
      <c r="B7" s="35" t="str">
        <f>VLOOKUP(8,Lang!$A$6:$K$1006,Lang!$M$1+1,FALSE)</f>
        <v xml:space="preserve">Celková rozloha </v>
      </c>
      <c r="C7" s="62" t="str">
        <f>IF('M-POP2'!B4="",VLOOKUP(2,Lang!$A$6:$K$1006,Lang!$M$1+1,FALSE),'M-POP2'!B4)</f>
        <v>nezadáno</v>
      </c>
    </row>
    <row r="8" spans="1:5" s="33" customFormat="1" ht="15" customHeight="1" x14ac:dyDescent="0.25">
      <c r="A8" s="79" t="s">
        <v>234</v>
      </c>
      <c r="B8" s="35" t="str">
        <f>VLOOKUP(9,Lang!$A$6:$K$1006,Lang!$M$1+1,FALSE)</f>
        <v xml:space="preserve">Hustota obyvatel </v>
      </c>
      <c r="C8" s="63">
        <f>IF('M-POP3'!B4="",VLOOKUP(2,Lang!$A$6:$K$1006,Lang!$M$1+1,FALSE),'M-POP3'!B4)</f>
        <v>1</v>
      </c>
    </row>
    <row r="9" spans="1:5" s="33" customFormat="1" ht="15" customHeight="1" x14ac:dyDescent="0.25">
      <c r="A9" s="79" t="s">
        <v>235</v>
      </c>
      <c r="B9" s="35" t="str">
        <f>VLOOKUP(10,Lang!$A$6:$K$1006,Lang!$M$1+1,FALSE)</f>
        <v xml:space="preserve">Zemědělská půda </v>
      </c>
      <c r="C9" s="64" t="str">
        <f>IF('M-POP4'!B4="",VLOOKUP(2,Lang!$A$6:$K$1006,Lang!$M$1+1,FALSE),'M-POP4'!B4)</f>
        <v>nezadáno</v>
      </c>
    </row>
    <row r="10" spans="1:5" s="33" customFormat="1" ht="15" customHeight="1" x14ac:dyDescent="0.25">
      <c r="A10" s="79" t="s">
        <v>236</v>
      </c>
      <c r="B10" s="35" t="str">
        <f>VLOOKUP(11,Lang!$A$6:$K$1006,Lang!$M$1+1,FALSE)</f>
        <v xml:space="preserve">Lesní půda </v>
      </c>
      <c r="C10" s="64" t="str">
        <f>IF('M-POP5'!B4="",VLOOKUP(2,Lang!$A$6:$K$1006,Lang!$M$1+1,FALSE),'M-POP5'!B4)</f>
        <v>nezadáno</v>
      </c>
    </row>
    <row r="11" spans="1:5" s="33" customFormat="1" ht="15" customHeight="1" x14ac:dyDescent="0.25">
      <c r="A11" s="79" t="s">
        <v>237</v>
      </c>
      <c r="B11" s="35" t="str">
        <f>VLOOKUP(12,Lang!$A$6:$K$1006,Lang!$M$1+1,FALSE)</f>
        <v xml:space="preserve">Vodní plocha </v>
      </c>
      <c r="C11" s="64" t="str">
        <f>IF('M-POP6'!B4="",VLOOKUP(2,Lang!$A$6:$K$1006,Lang!$M$1+1,FALSE),'M-POP6'!B4)</f>
        <v>nezadáno</v>
      </c>
    </row>
    <row r="12" spans="1:5" s="33" customFormat="1" ht="15" customHeight="1" x14ac:dyDescent="0.25">
      <c r="A12" s="79" t="s">
        <v>238</v>
      </c>
      <c r="B12" s="35" t="str">
        <f>VLOOKUP(13,Lang!$A$6:$K$1006,Lang!$M$1+1,FALSE)</f>
        <v xml:space="preserve">Zastavěné území </v>
      </c>
      <c r="C12" s="64" t="str">
        <f>IF('M-POP7'!B4="",VLOOKUP(2,Lang!$A$6:$K$1006,Lang!$M$1+1,FALSE),'M-POP7'!B4)</f>
        <v>nezadáno</v>
      </c>
    </row>
    <row r="13" spans="1:5" s="33" customFormat="1" ht="15" customHeight="1" x14ac:dyDescent="0.25">
      <c r="A13" s="79" t="s">
        <v>239</v>
      </c>
      <c r="B13" s="35" t="str">
        <f>VLOOKUP(14,Lang!$A$6:$K$1006,Lang!$M$1+1,FALSE)</f>
        <v xml:space="preserve">Ostatní území </v>
      </c>
      <c r="C13" s="64" t="str">
        <f>IF('M-POP8'!B4="",VLOOKUP(2,Lang!$A$6:$K$1006,Lang!$M$1+1,FALSE),'M-POP8'!B4)</f>
        <v>nezadáno</v>
      </c>
    </row>
    <row r="14" spans="1:5" s="33" customFormat="1" ht="15" customHeight="1" x14ac:dyDescent="0.25">
      <c r="A14" s="79" t="s">
        <v>240</v>
      </c>
      <c r="B14" s="35" t="str">
        <f>VLOOKUP(15,Lang!$A$6:$K$1006,Lang!$M$1+1,FALSE)</f>
        <v xml:space="preserve">Chráněné území </v>
      </c>
      <c r="C14" s="64" t="str">
        <f>IF('M-POP9'!B4="",VLOOKUP(2,Lang!$A$6:$K$1006,Lang!$M$1+1,FALSE),'M-POP9'!B4)</f>
        <v>nezadáno</v>
      </c>
    </row>
    <row r="15" spans="1:5" s="33" customFormat="1" ht="15" customHeight="1" x14ac:dyDescent="0.25">
      <c r="A15" s="79" t="s">
        <v>241</v>
      </c>
      <c r="B15" s="35" t="str">
        <f>VLOOKUP(16,Lang!$A$6:$K$1006,Lang!$M$1+1,FALSE)</f>
        <v xml:space="preserve">Obyvatelé v bytových domech </v>
      </c>
      <c r="C15" s="64" t="str">
        <f>IF('M-POP10'!B4="",VLOOKUP(2,Lang!$A$6:$K$1006,Lang!$M$1+1,FALSE),'M-POP10'!B4)</f>
        <v>nezadáno</v>
      </c>
    </row>
    <row r="16" spans="1:5" s="33" customFormat="1" ht="15" customHeight="1" x14ac:dyDescent="0.25">
      <c r="A16" s="79" t="s">
        <v>242</v>
      </c>
      <c r="B16" s="35" t="str">
        <f>VLOOKUP(17,Lang!$A$6:$K$1006,Lang!$M$1+1,FALSE)</f>
        <v xml:space="preserve">Obyvatelé v rodinných domech </v>
      </c>
      <c r="C16" s="64" t="str">
        <f>IF('M-POP11'!B$4="",VLOOKUP(2,Lang!$A$6:$K$1006,Lang!$M$1+1,FALSE),'M-POP11'!B$4)</f>
        <v>nezadáno</v>
      </c>
    </row>
    <row r="17" spans="1:3" s="33" customFormat="1" ht="15" customHeight="1" x14ac:dyDescent="0.25">
      <c r="A17" s="79" t="s">
        <v>243</v>
      </c>
      <c r="B17" s="35" t="str">
        <f>VLOOKUP(18,Lang!$A$6:$K$1006,Lang!$M$1+1,FALSE)</f>
        <v xml:space="preserve">Připojení na veřejný vodovod </v>
      </c>
      <c r="C17" s="64" t="str">
        <f>IF('M-POP12'!B$4="",VLOOKUP(2,Lang!$A$6:$K$1006,Lang!$M$1+1,FALSE),'M-POP12'!B$4)</f>
        <v>nezadáno</v>
      </c>
    </row>
    <row r="18" spans="1:3" s="33" customFormat="1" ht="15" customHeight="1" x14ac:dyDescent="0.25">
      <c r="A18" s="79" t="s">
        <v>244</v>
      </c>
      <c r="B18" s="35" t="str">
        <f>VLOOKUP(19,Lang!$A$6:$K$1006,Lang!$M$1+1,FALSE)</f>
        <v xml:space="preserve">Připojení na veřejnou kanalizaci </v>
      </c>
      <c r="C18" s="64" t="str">
        <f>IF('M-POP13'!B$4="",VLOOKUP(2,Lang!$A$6:$K$1006,Lang!$M$1+1,FALSE),'M-POP13'!B$4)</f>
        <v>nezadáno</v>
      </c>
    </row>
    <row r="19" spans="1:3" s="33" customFormat="1" ht="15" customHeight="1" x14ac:dyDescent="0.25">
      <c r="A19" s="80" t="s">
        <v>301</v>
      </c>
      <c r="B19" s="36" t="str">
        <f>VLOOKUP(20,Lang!$A$6:$K$1006,Lang!$M$1+1,FALSE)</f>
        <v xml:space="preserve">Výdaje města na obyvatele </v>
      </c>
      <c r="C19" s="62" t="str">
        <f>IF('M-POP14'!B$4="",VLOOKUP(2,Lang!$A$6:$K$1006,Lang!$M$1+1,FALSE),CONCATENATE('M-POP14'!B$4," ",'M-POP14'!C4))</f>
        <v>nezadáno</v>
      </c>
    </row>
    <row r="20" spans="1:3" s="33" customFormat="1" x14ac:dyDescent="0.25">
      <c r="A20" s="79" t="s">
        <v>245</v>
      </c>
      <c r="B20" s="37" t="str">
        <f>VLOOKUP(21,Lang!$A$6:$K$1006,Lang!$M$1+1,FALSE)</f>
        <v xml:space="preserve">Rozdíl průměrné roční teploty vzduchu ve sledovaném roce oproti dlouhodobému průměru                                                                       </v>
      </c>
      <c r="C20" s="65" t="str">
        <f>IF('M-EXP1'!B$4="",VLOOKUP(2,Lang!$A$6:$K$1006,Lang!$M$1+1,FALSE),'M-EXP1'!B$4)</f>
        <v>nezadáno</v>
      </c>
    </row>
    <row r="21" spans="1:3" s="33" customFormat="1" ht="15.95" customHeight="1" x14ac:dyDescent="0.25">
      <c r="A21" s="79" t="s">
        <v>246</v>
      </c>
      <c r="B21" s="35" t="str">
        <f>VLOOKUP(22,Lang!$A$6:$K$1006,Lang!$M$1+1,FALSE)</f>
        <v xml:space="preserve">Rozdíl počtu tropických dní ve sledovaném roce oproti dlouhodobému průměru                                                                       </v>
      </c>
      <c r="C21" s="65" t="str">
        <f>IF('M-EXP2'!B$4="",VLOOKUP(2,Lang!$A$6:$K$1006,Lang!$M$1+1,FALSE),'M-EXP2'!B$4)</f>
        <v>nezadáno</v>
      </c>
    </row>
    <row r="22" spans="1:3" s="33" customFormat="1" ht="15.95" customHeight="1" x14ac:dyDescent="0.25">
      <c r="A22" s="79" t="s">
        <v>247</v>
      </c>
      <c r="B22" s="35" t="str">
        <f>VLOOKUP(23,Lang!$A$6:$K$1006,Lang!$M$1+1,FALSE)</f>
        <v xml:space="preserve">Rozdíl počtu tropických nocí ve sledovaném roce oproti dlouhodobému průměru                                                                       </v>
      </c>
      <c r="C22" s="65" t="str">
        <f>IF('M-EXP3'!B$4="",VLOOKUP(2,Lang!$A$6:$K$1006,Lang!$M$1+1,FALSE),'M-EXP3'!B$4)</f>
        <v>nezadáno</v>
      </c>
    </row>
    <row r="23" spans="1:3" s="33" customFormat="1" x14ac:dyDescent="0.25">
      <c r="A23" s="79" t="s">
        <v>248</v>
      </c>
      <c r="B23" s="35" t="str">
        <f>VLOOKUP(24,Lang!$A$6:$K$1006,Lang!$M$1+1,FALSE)</f>
        <v>Největší počet po sobě jdoucích kalendářních dní bez srážek oproti dlouhodobému průměru</v>
      </c>
      <c r="C23" s="65" t="str">
        <f>IF('M-EXP4'!B$4="",VLOOKUP(2,Lang!$A$6:$K$1006,Lang!$M$1+1,FALSE),'M-EXP4'!B$4)</f>
        <v>nezadáno</v>
      </c>
    </row>
    <row r="24" spans="1:3" s="33" customFormat="1" ht="15.95" customHeight="1" x14ac:dyDescent="0.25">
      <c r="A24" s="79" t="s">
        <v>249</v>
      </c>
      <c r="B24" s="35" t="str">
        <f>VLOOKUP(25,Lang!$A$6:$K$1006,Lang!$M$1+1,FALSE)</f>
        <v>Počet epizod přívalových povodní v minulosti za posledních 5 let</v>
      </c>
      <c r="C24" s="65" t="str">
        <f>IF('M-EXP5'!B$4="",VLOOKUP(2,Lang!$A$6:$K$1006,Lang!$M$1+1,FALSE),'M-EXP5'!B$4)</f>
        <v>nezadáno</v>
      </c>
    </row>
    <row r="25" spans="1:3" s="33" customFormat="1" ht="15.95" customHeight="1" x14ac:dyDescent="0.25">
      <c r="A25" s="79" t="s">
        <v>250</v>
      </c>
      <c r="B25" s="38" t="str">
        <f>VLOOKUP(26,Lang!$A$6:$K$1006,Lang!$M$1+1,FALSE)</f>
        <v>Četnost říčních záplav, kdy dochází k vybřežení toku za posledních 5 let</v>
      </c>
      <c r="C25" s="65" t="str">
        <f>IF('M-EXP6'!B$4="",VLOOKUP(2,Lang!$A$6:$K$1006,Lang!$M$1+1,FALSE),'M-EXP6'!B$4)</f>
        <v>nezadáno</v>
      </c>
    </row>
    <row r="26" spans="1:3" s="33" customFormat="1" ht="30" x14ac:dyDescent="0.25">
      <c r="A26" s="79" t="s">
        <v>251</v>
      </c>
      <c r="B26" s="35" t="str">
        <f>VLOOKUP(27,Lang!$A$6:$K$1006,Lang!$M$1+1,FALSE)</f>
        <v>Podíl záplavového území vymezeného čárou Q₁₀₀ z celkové rozlohy administrativního území města/městské části/obce</v>
      </c>
      <c r="C26" s="65" t="str">
        <f>IF('M-EXP7'!B$4="",VLOOKUP(2,Lang!$A$6:$K$1006,Lang!$M$1+1,FALSE),'M-EXP7'!B$4)</f>
        <v>nezadáno</v>
      </c>
    </row>
    <row r="27" spans="1:3" s="33" customFormat="1" ht="30.75" customHeight="1" x14ac:dyDescent="0.25">
      <c r="A27" s="79" t="s">
        <v>252</v>
      </c>
      <c r="B27" s="35" t="str">
        <f>VLOOKUP(28,Lang!$A$6:$K$1006,Lang!$M$1+1,FALSE)</f>
        <v>Počet dní s výskytem extrémních meteorologických jevů (silný vítr, krupobití, silné bouřky, ledovka, námraza, přívaly sněhu)</v>
      </c>
      <c r="C27" s="65" t="str">
        <f>IF('M-EXP8'!B$4="",VLOOKUP(2,Lang!$A$6:$K$1006,Lang!$M$1+1,FALSE),'M-EXP8'!B$4)</f>
        <v>nezadáno</v>
      </c>
    </row>
    <row r="28" spans="1:3" s="33" customFormat="1" ht="15.95" customHeight="1" x14ac:dyDescent="0.25">
      <c r="A28" s="79" t="s">
        <v>253</v>
      </c>
      <c r="B28" s="35" t="str">
        <f>VLOOKUP(29,Lang!$A$6:$K$1006,Lang!$M$1+1,FALSE)</f>
        <v>Počet dní s výskytem hydrologického sucha za posledních 5 let</v>
      </c>
      <c r="C28" s="65" t="str">
        <f>IF('M-EXP9'!B$4="",VLOOKUP(2,Lang!$A$6:$K$1006,Lang!$M$1+1,FALSE),'M-EXP9'!B$4)</f>
        <v>nezadáno</v>
      </c>
    </row>
    <row r="29" spans="1:3" s="33" customFormat="1" ht="15.95" customHeight="1" x14ac:dyDescent="0.25">
      <c r="A29" s="79" t="s">
        <v>254</v>
      </c>
      <c r="B29" s="35" t="str">
        <f>VLOOKUP(30,Lang!$A$6:$K$1006,Lang!$M$1+1,FALSE)</f>
        <v>Klimatické sucho vyjádřené pomocí Standardizovaného srážkového evapotranspiračního indexu (SPEI)</v>
      </c>
      <c r="C29" s="65" t="str">
        <f>IF('M-EXP10'!B$4="",VLOOKUP(2,Lang!$A$6:$K$1006,Lang!$M$1+1,FALSE),'M-EXP10'!B$4)</f>
        <v>nezadáno</v>
      </c>
    </row>
    <row r="30" spans="1:3" s="33" customFormat="1" ht="15.95" customHeight="1" x14ac:dyDescent="0.25">
      <c r="A30" s="79" t="s">
        <v>255</v>
      </c>
      <c r="B30" s="39" t="str">
        <f>VLOOKUP(31,Lang!$A$6:$K$1006,Lang!$M$1+1,FALSE)</f>
        <v>Plochy zelené infrastruktury ve městě</v>
      </c>
      <c r="C30" s="65" t="str">
        <f>IF('M-AD1'!B$4="",VLOOKUP(2,Lang!$A$6:$K$1006,Lang!$M$1+1,FALSE),'M-AD1'!B$4)</f>
        <v>nezadáno</v>
      </c>
    </row>
    <row r="31" spans="1:3" s="33" customFormat="1" ht="15.95" customHeight="1" x14ac:dyDescent="0.25">
      <c r="A31" s="79" t="s">
        <v>256</v>
      </c>
      <c r="B31" s="39" t="str">
        <f>VLOOKUP(32,Lang!$A$6:$K$1006,Lang!$M$1+1,FALSE)</f>
        <v>Dostupnost ploch veřejné zeleně odpovídající kvality</v>
      </c>
      <c r="C31" s="65" t="str">
        <f>IF('M-AD2'!B$4="",VLOOKUP(2,Lang!$A$6:$K$1006,Lang!$M$1+1,FALSE),'M-AD2'!B$4)</f>
        <v>nezadáno</v>
      </c>
    </row>
    <row r="32" spans="1:3" s="33" customFormat="1" ht="15.95" customHeight="1" x14ac:dyDescent="0.25">
      <c r="A32" s="79" t="s">
        <v>257</v>
      </c>
      <c r="B32" s="39" t="str">
        <f>VLOOKUP(33,Lang!$A$6:$K$1006,Lang!$M$1+1,FALSE)</f>
        <v>Zastavěné, zpevněné a nepropustné plochy</v>
      </c>
      <c r="C32" s="65" t="str">
        <f>IF('M-AD3'!B$4="",VLOOKUP(2,Lang!$A$6:$K$1006,Lang!$M$1+1,FALSE),'M-AD3'!B$4)</f>
        <v>nezadáno</v>
      </c>
    </row>
    <row r="33" spans="1:3" s="33" customFormat="1" ht="15.95" customHeight="1" x14ac:dyDescent="0.25">
      <c r="A33" s="79" t="s">
        <v>258</v>
      </c>
      <c r="B33" s="39" t="str">
        <f>VLOOKUP(34,Lang!$A$6:$K$1006,Lang!$M$1+1,FALSE)</f>
        <v>Populace nejvíce zranitelná vlnám veder</v>
      </c>
      <c r="C33" s="65" t="str">
        <f>IF('M-AD4'!B$4="",VLOOKUP(2,Lang!$A$6:$K$1006,Lang!$M$1+1,FALSE),'M-AD4'!B$4)</f>
        <v>nezadáno</v>
      </c>
    </row>
    <row r="34" spans="1:3" s="33" customFormat="1" x14ac:dyDescent="0.25">
      <c r="A34" s="79" t="s">
        <v>259</v>
      </c>
      <c r="B34" s="39" t="str">
        <f>VLOOKUP(35,Lang!$A$6:$K$1006,Lang!$M$1+1,FALSE)</f>
        <v>Podíl území ve městě s rizikem půdních sesuvů z celkové rozlohy administrativního území</v>
      </c>
      <c r="C34" s="65" t="str">
        <f>IF('M-AD5'!B$4="",VLOOKUP(2,Lang!$A$6:$K$1006,Lang!$M$1+1,FALSE),'M-AD5'!B$4)</f>
        <v>nezadáno</v>
      </c>
    </row>
    <row r="35" spans="1:3" s="33" customFormat="1" ht="30" x14ac:dyDescent="0.25">
      <c r="A35" s="79" t="s">
        <v>260</v>
      </c>
      <c r="B35" s="39" t="str">
        <f>VLOOKUP(36,Lang!$A$6:$K$1006,Lang!$M$1+1,FALSE)</f>
        <v>Podíl počtu kritických objektů v rizikovém území ohrožených přívalovými srážkami z celkového počtu kritických objektů</v>
      </c>
      <c r="C35" s="65" t="str">
        <f>IF('M-AD6'!B$4="",VLOOKUP(2,Lang!$A$6:$K$1006,Lang!$M$1+1,FALSE),'M-AD6'!B$4)</f>
        <v>nezadáno</v>
      </c>
    </row>
    <row r="36" spans="1:3" s="33" customFormat="1" ht="15.95" customHeight="1" x14ac:dyDescent="0.25">
      <c r="A36" s="79" t="s">
        <v>261</v>
      </c>
      <c r="B36" s="35" t="str">
        <f>VLOOKUP(37,Lang!$A$6:$K$1006,Lang!$M$1+1,FALSE)</f>
        <v>Podíl obyvatel bydlících v záplavovém území Q₁₀₀ z celkového počtu obyvatel</v>
      </c>
      <c r="C36" s="65" t="str">
        <f>IF('M-AD7'!B$4="",VLOOKUP(2,Lang!$A$6:$K$1006,Lang!$M$1+1,FALSE),'M-AD7'!B$4)</f>
        <v>nezadáno</v>
      </c>
    </row>
    <row r="37" spans="1:3" s="33" customFormat="1" ht="15.95" customHeight="1" x14ac:dyDescent="0.25">
      <c r="A37" s="79" t="s">
        <v>262</v>
      </c>
      <c r="B37" s="35" t="str">
        <f>VLOOKUP(38,Lang!$A$6:$K$1006,Lang!$M$1+1,FALSE)</f>
        <v>Počet starých ekologických zátěží na území města</v>
      </c>
      <c r="C37" s="65" t="str">
        <f>IF('M-AD8'!B$4="",VLOOKUP(2,Lang!$A$6:$K$1006,Lang!$M$1+1,FALSE),'M-AD8'!B$4)</f>
        <v>nezadáno</v>
      </c>
    </row>
    <row r="38" spans="1:3" s="33" customFormat="1" ht="27" customHeight="1" x14ac:dyDescent="0.25">
      <c r="A38" s="79" t="s">
        <v>263</v>
      </c>
      <c r="B38" s="39" t="str">
        <f>VLOOKUP(39,Lang!$A$6:$K$1006,Lang!$M$1+1,FALSE)</f>
        <v>Podíl počtu obyvatel bydlících v území ohroženém povodněmi z přívalových srážek z celkového počtu obyvatel</v>
      </c>
      <c r="C38" s="65" t="str">
        <f>IF('M-AD9'!B$4="",VLOOKUP(2,Lang!$A$6:$K$1006,Lang!$M$1+1,FALSE),'M-AD9'!B$4)</f>
        <v>nezadáno</v>
      </c>
    </row>
    <row r="39" spans="1:3" s="33" customFormat="1" ht="29.25" customHeight="1" x14ac:dyDescent="0.25">
      <c r="A39" s="79" t="s">
        <v>264</v>
      </c>
      <c r="B39" s="39" t="str">
        <f>VLOOKUP(40,Lang!$A$6:$K$1006,Lang!$M$1+1,FALSE)</f>
        <v>Podíl počtu kritických objektů ležících v záplavovém území říčních záplav Q₁₀₀ z celkového počtu kritických objektů</v>
      </c>
      <c r="C39" s="65" t="str">
        <f>IF('M-AD10'!B$4="",VLOOKUP(2,Lang!$A$6:$K$1006,Lang!$M$1+1,FALSE),'M-AD10'!B$4)</f>
        <v>nezadáno</v>
      </c>
    </row>
    <row r="40" spans="1:3" s="33" customFormat="1" ht="15.95" customHeight="1" x14ac:dyDescent="0.25">
      <c r="A40" s="79" t="s">
        <v>265</v>
      </c>
      <c r="B40" s="39" t="str">
        <f>VLOOKUP(41,Lang!$A$6:$K$1006,Lang!$M$1+1,FALSE)</f>
        <v>Podíl pitné vody na celkové spotřebě vody na zalévání veřejné zeleně</v>
      </c>
      <c r="C40" s="65" t="str">
        <f>IF('M-AD11'!B$4="",VLOOKUP(2,Lang!$A$6:$K$1006,Lang!$M$1+1,FALSE),'M-AD11'!B$4)</f>
        <v>nezadáno</v>
      </c>
    </row>
    <row r="41" spans="1:3" s="33" customFormat="1" ht="15.95" customHeight="1" x14ac:dyDescent="0.25">
      <c r="A41" s="79" t="s">
        <v>266</v>
      </c>
      <c r="B41" s="39" t="str">
        <f>VLOOKUP(42,Lang!$A$6:$K$1006,Lang!$M$1+1,FALSE)</f>
        <v>Spotřeba pitné vody ve městě/městské části/obci z veřejných zdrojů</v>
      </c>
      <c r="C41" s="65" t="str">
        <f>IF('M-AD12'!B$4="",VLOOKUP(2,Lang!$A$6:$K$1006,Lang!$M$1+1,FALSE),'M-AD12'!B$4)</f>
        <v>nezadáno</v>
      </c>
    </row>
    <row r="42" spans="1:3" s="33" customFormat="1" ht="30" x14ac:dyDescent="0.25">
      <c r="A42" s="79" t="s">
        <v>267</v>
      </c>
      <c r="B42" s="39" t="str">
        <f>VLOOKUP(43,Lang!$A$6:$K$1006,Lang!$M$1+1,FALSE)</f>
        <v>Průměrná využitelná kapacita zdrojů pitné vody pro potřeby města/městské části/obce na obyvatele města/městské části/obce</v>
      </c>
      <c r="C42" s="65" t="str">
        <f>IF('M-AD13'!B$4="",VLOOKUP(2,Lang!$A$6:$K$1006,Lang!$M$1+1,FALSE),'M-AD13'!B$4)</f>
        <v>nezadáno</v>
      </c>
    </row>
    <row r="43" spans="1:3" s="33" customFormat="1" ht="15.95" customHeight="1" x14ac:dyDescent="0.25">
      <c r="A43" s="79" t="s">
        <v>268</v>
      </c>
      <c r="B43" s="39" t="str">
        <f>VLOOKUP(44,Lang!$A$6:$K$1006,Lang!$M$1+1,FALSE)</f>
        <v>Lesní porosty náchylné k ohrožení suchem</v>
      </c>
      <c r="C43" s="65" t="str">
        <f>IF('M-AD14'!B$4="",VLOOKUP(2,Lang!$A$6:$K$1006,Lang!$M$1+1,FALSE),'M-AD14'!B$4)</f>
        <v>nezadáno</v>
      </c>
    </row>
    <row r="44" spans="1:3" s="33" customFormat="1" ht="15.95" customHeight="1" x14ac:dyDescent="0.25">
      <c r="A44" s="79" t="s">
        <v>269</v>
      </c>
      <c r="B44" s="39" t="str">
        <f>VLOOKUP(45,Lang!$A$6:$K$1006,Lang!$M$1+1,FALSE)</f>
        <v>Množství srážkové vody zachycené v katastrálním území</v>
      </c>
      <c r="C44" s="65" t="str">
        <f>IF('M-AD15'!B$4="",VLOOKUP(2,Lang!$A$6:$K$1006,Lang!$M$1+1,FALSE),'M-AD15'!B$4)</f>
        <v>nezadáno</v>
      </c>
    </row>
    <row r="45" spans="1:3" s="33" customFormat="1" ht="15.95" customHeight="1" x14ac:dyDescent="0.25">
      <c r="A45" s="79" t="s">
        <v>270</v>
      </c>
      <c r="B45" s="39" t="str">
        <f>VLOOKUP(46,Lang!$A$6:$K$1006,Lang!$M$1+1,FALSE)</f>
        <v>Počet mimořádných klimatických událostí</v>
      </c>
      <c r="C45" s="65" t="str">
        <f>IF('M-AD16'!B$4="",VLOOKUP(2,Lang!$A$6:$K$1006,Lang!$M$1+1,FALSE),'M-AD16'!B$4)</f>
        <v>nezadáno</v>
      </c>
    </row>
    <row r="46" spans="1:3" s="33" customFormat="1" ht="15.95" customHeight="1" x14ac:dyDescent="0.25">
      <c r="A46" s="79" t="s">
        <v>271</v>
      </c>
      <c r="B46" s="39" t="str">
        <f>VLOOKUP(47,Lang!$A$6:$K$1006,Lang!$M$1+1,FALSE)</f>
        <v xml:space="preserve">Spotřeba dálkového tepla </v>
      </c>
      <c r="C46" s="65" t="str">
        <f>IF(MIT!G4="",VLOOKUP(2,Lang!$A$6:$K$1006,Lang!$M$1+1,FALSE),CONCATENATE(MIT!G4," ",MIT!F4))</f>
        <v>nezadáno</v>
      </c>
    </row>
    <row r="47" spans="1:3" s="33" customFormat="1" ht="15.95" customHeight="1" x14ac:dyDescent="0.25">
      <c r="A47" s="79" t="s">
        <v>272</v>
      </c>
      <c r="B47" s="39" t="str">
        <f>VLOOKUP(48,Lang!$A$6:$K$1006,Lang!$M$1+1,FALSE)</f>
        <v xml:space="preserve">Spotřeba elektřiny </v>
      </c>
      <c r="C47" s="65" t="str">
        <f>IF(MIT!G5="",VLOOKUP(2,Lang!$A$6:$K$1006,Lang!$M$1+1,FALSE),CONCATENATE(MIT!G5," ",MIT!F5))</f>
        <v>nezadáno</v>
      </c>
    </row>
    <row r="48" spans="1:3" s="33" customFormat="1" ht="15.95" customHeight="1" x14ac:dyDescent="0.25">
      <c r="A48" s="79" t="s">
        <v>273</v>
      </c>
      <c r="B48" s="39" t="str">
        <f>VLOOKUP(49,Lang!$A$6:$K$1006,Lang!$M$1+1,FALSE)</f>
        <v xml:space="preserve">Spotřeba zemního plynu </v>
      </c>
      <c r="C48" s="65" t="str">
        <f>IF(MIT!G6="",VLOOKUP(2,Lang!$A$6:$K$1006,Lang!$M$1+1,FALSE),CONCATENATE(MIT!G6," ",MIT!F6))</f>
        <v>nezadáno</v>
      </c>
    </row>
    <row r="49" spans="1:3" s="33" customFormat="1" ht="15.95" customHeight="1" x14ac:dyDescent="0.25">
      <c r="A49" s="79" t="s">
        <v>274</v>
      </c>
      <c r="B49" s="39" t="str">
        <f>VLOOKUP(50,Lang!$A$6:$K$1006,Lang!$M$1+1,FALSE)</f>
        <v>Dopravní výkon v individuální automobilové dopravě</v>
      </c>
      <c r="C49" s="65" t="str">
        <f>IF(MIT!G7="",VLOOKUP(2,Lang!$A$6:$K$1006,Lang!$M$1+1,FALSE),CONCATENATE(MIT!G7," ",MIT!F7))</f>
        <v>nezadáno</v>
      </c>
    </row>
    <row r="50" spans="1:3" s="33" customFormat="1" ht="15.95" customHeight="1" x14ac:dyDescent="0.25">
      <c r="A50" s="79" t="s">
        <v>275</v>
      </c>
      <c r="B50" s="39" t="str">
        <f>VLOOKUP(51,Lang!$A$6:$K$1006,Lang!$M$1+1,FALSE)</f>
        <v>Spotřeba uhlí (hnědé, černé) v rámci administrativního území obce/čtvrti</v>
      </c>
      <c r="C50" s="65" t="str">
        <f>IF(MIT!G8="",VLOOKUP(2,Lang!$A$6:$K$1006,Lang!$M$1+1,FALSE),CONCATENATE(MIT!G8," ",MIT!F8))</f>
        <v>nezadáno</v>
      </c>
    </row>
    <row r="51" spans="1:3" s="33" customFormat="1" ht="30" x14ac:dyDescent="0.25">
      <c r="A51" s="79" t="s">
        <v>276</v>
      </c>
      <c r="B51" s="39" t="str">
        <f>VLOOKUP(52,Lang!$A$6:$K$1006,Lang!$M$1+1,FALSE)</f>
        <v>Spotřeba dalších fosilních paliv (propan-butan, topný olej, další) v rámci administrativního území města/městské části/obce</v>
      </c>
      <c r="C51" s="65" t="str">
        <f>IF(MIT!G9="",VLOOKUP(2,Lang!$A$6:$K$1006,Lang!$M$1+1,FALSE),CONCATENATE(MIT!G9," ",MIT!F9))</f>
        <v>nezadáno</v>
      </c>
    </row>
    <row r="52" spans="1:3" s="33" customFormat="1" ht="15.95" customHeight="1" x14ac:dyDescent="0.25">
      <c r="A52" s="79" t="s">
        <v>277</v>
      </c>
      <c r="B52" s="39" t="str">
        <f>VLOOKUP(53,Lang!$A$6:$K$1006,Lang!$M$1+1,FALSE)</f>
        <v>Dopravní výkon v kolejové dopravě</v>
      </c>
      <c r="C52" s="65" t="str">
        <f>IF(MIT!G10="",VLOOKUP(2,Lang!$A$6:$K$1006,Lang!$M$1+1,FALSE),CONCATENATE(MIT!G10," ",MIT!F10))</f>
        <v>nezadáno</v>
      </c>
    </row>
    <row r="53" spans="1:3" s="33" customFormat="1" ht="15.95" customHeight="1" x14ac:dyDescent="0.25">
      <c r="A53" s="79" t="s">
        <v>278</v>
      </c>
      <c r="B53" s="39" t="str">
        <f>VLOOKUP(54,Lang!$A$6:$K$1006,Lang!$M$1+1,FALSE)</f>
        <v>Dopravní výkon v osobní, autobusové a trolejbusové dopravě</v>
      </c>
      <c r="C53" s="65" t="str">
        <f>IF(MIT!G11="",VLOOKUP(2,Lang!$A$6:$K$1006,Lang!$M$1+1,FALSE),CONCATENATE(MIT!G11," ",MIT!F11))</f>
        <v>nezadáno</v>
      </c>
    </row>
    <row r="54" spans="1:3" s="33" customFormat="1" ht="15.95" customHeight="1" x14ac:dyDescent="0.25">
      <c r="A54" s="79" t="s">
        <v>279</v>
      </c>
      <c r="B54" s="39" t="str">
        <f>VLOOKUP(55,Lang!$A$6:$K$1006,Lang!$M$1+1,FALSE)</f>
        <v>Dopravní výkon v letecké dopravě</v>
      </c>
      <c r="C54" s="65" t="str">
        <f>IF(MIT!G12="",VLOOKUP(2,Lang!$A$6:$K$1006,Lang!$M$1+1,FALSE),CONCATENATE(MIT!G12," ",MIT!F12))</f>
        <v>nezadáno</v>
      </c>
    </row>
    <row r="55" spans="1:3" s="33" customFormat="1" ht="15.95" customHeight="1" x14ac:dyDescent="0.25">
      <c r="A55" s="79" t="s">
        <v>280</v>
      </c>
      <c r="B55" s="39" t="str">
        <f>VLOOKUP(56,Lang!$A$6:$K$1006,Lang!$M$1+1,FALSE)</f>
        <v>Množství směsného komunálního odpadu zneškodněného skládkováním</v>
      </c>
      <c r="C55" s="65" t="str">
        <f>IF(MIT!G13="",VLOOKUP(2,Lang!$A$6:$K$1006,Lang!$M$1+1,FALSE),CONCATENATE(MIT!G13," ",MIT!F13))</f>
        <v>nezadáno</v>
      </c>
    </row>
    <row r="56" spans="1:3" s="33" customFormat="1" ht="15.95" customHeight="1" x14ac:dyDescent="0.25">
      <c r="A56" s="79" t="s">
        <v>281</v>
      </c>
      <c r="B56" s="39" t="str">
        <f>VLOOKUP(57,Lang!$A$6:$K$1006,Lang!$M$1+1,FALSE)</f>
        <v>Množství směsného komunálního odpadu zneškodněného spalováním</v>
      </c>
      <c r="C56" s="65" t="str">
        <f>IF(MIT!G14="",VLOOKUP(2,Lang!$A$6:$K$1006,Lang!$M$1+1,FALSE),CONCATENATE(MIT!G14," ",MIT!F14))</f>
        <v>nezadáno</v>
      </c>
    </row>
    <row r="57" spans="1:3" s="33" customFormat="1" ht="15.95" customHeight="1" x14ac:dyDescent="0.25">
      <c r="A57" s="79" t="s">
        <v>282</v>
      </c>
      <c r="B57" s="39" t="str">
        <f>VLOOKUP(58,Lang!$A$6:$K$1006,Lang!$M$1+1,FALSE)</f>
        <v>Celková produkce nebezpečného odpadu</v>
      </c>
      <c r="C57" s="65" t="str">
        <f>IF(MIT!G15="",VLOOKUP(2,Lang!$A$6:$K$1006,Lang!$M$1+1,FALSE),CONCATENATE(MIT!G15," ",MIT!F15))</f>
        <v>nezadáno</v>
      </c>
    </row>
    <row r="58" spans="1:3" s="33" customFormat="1" ht="15.95" customHeight="1" x14ac:dyDescent="0.25">
      <c r="A58" s="79" t="s">
        <v>283</v>
      </c>
      <c r="B58" s="39" t="str">
        <f>VLOOKUP(59,Lang!$A$6:$K$1006,Lang!$M$1+1,FALSE)</f>
        <v>Produkce odpadní vody</v>
      </c>
      <c r="C58" s="65" t="str">
        <f>IF(MIT!G16="",VLOOKUP(2,Lang!$A$6:$K$1006,Lang!$M$1+1,FALSE),CONCATENATE(MIT!G16," ",MIT!F16))</f>
        <v>nezadáno</v>
      </c>
    </row>
    <row r="59" spans="1:3" s="33" customFormat="1" ht="15.95" customHeight="1" x14ac:dyDescent="0.25">
      <c r="A59" s="79" t="s">
        <v>284</v>
      </c>
      <c r="B59" s="39" t="str">
        <f>VLOOKUP(60,Lang!$A$6:$K$1006,Lang!$M$1+1,FALSE)</f>
        <v>Množství biologicky rozložitelného komunálního odpadu (BRKO)</v>
      </c>
      <c r="C59" s="65" t="str">
        <f>IF(MIT!G17="",VLOOKUP(2,Lang!$A$6:$K$1006,Lang!$M$1+1,FALSE),CONCATENATE(MIT!G17," ",MIT!F17))</f>
        <v>nezadáno</v>
      </c>
    </row>
    <row r="60" spans="1:3" s="33" customFormat="1" ht="15.95" customHeight="1" x14ac:dyDescent="0.25">
      <c r="A60" s="79" t="s">
        <v>285</v>
      </c>
      <c r="B60" s="39" t="str">
        <f>VLOOKUP(61,Lang!$A$6:$K$1006,Lang!$M$1+1,FALSE)</f>
        <v>Strategicko-institucionální situace města v oblasti adaptace na dopady změny klimatu</v>
      </c>
      <c r="C60" s="65" t="str">
        <f>IF('M-GOV1'!B$4="",VLOOKUP(2,Lang!$A$6:$K$1006,Lang!$M$1+1,FALSE),'M-GOV1'!B$4)</f>
        <v>nezadáno</v>
      </c>
    </row>
    <row r="61" spans="1:3" s="33" customFormat="1" ht="15.95" customHeight="1" x14ac:dyDescent="0.25">
      <c r="A61" s="79" t="s">
        <v>286</v>
      </c>
      <c r="B61" s="39" t="str">
        <f>VLOOKUP(62,Lang!$A$6:$K$1006,Lang!$M$1+1,FALSE)</f>
        <v>Prostředky vynaložené na realizaci adaptačních opatření</v>
      </c>
      <c r="C61" s="65" t="str">
        <f>IF('M-GOV2'!B$4="",VLOOKUP(2,Lang!$A$6:$K$1006,Lang!$M$1+1,FALSE),'M-GOV2'!B$4)</f>
        <v>nezadáno</v>
      </c>
    </row>
    <row r="62" spans="1:3" s="33" customFormat="1" ht="15.95" customHeight="1" x14ac:dyDescent="0.25">
      <c r="A62" s="79" t="s">
        <v>287</v>
      </c>
      <c r="B62" s="39" t="str">
        <f>VLOOKUP(63,Lang!$A$6:$K$1006,Lang!$M$1+1,FALSE)</f>
        <v>Existence nízkouhlíkové strategie/politiky/akčního plánu</v>
      </c>
      <c r="C62" s="65" t="str">
        <f>IF('M-GOV3'!B$4="",VLOOKUP(2,Lang!$A$6:$K$1006,Lang!$M$1+1,FALSE),'M-GOV3'!B$4)</f>
        <v>0 / 0 %</v>
      </c>
    </row>
    <row r="63" spans="1:3" s="33" customFormat="1" ht="15.95" customHeight="1" x14ac:dyDescent="0.25">
      <c r="A63" s="79" t="s">
        <v>288</v>
      </c>
      <c r="B63" s="39" t="str">
        <f>VLOOKUP(64,Lang!$A$6:$K$1006,Lang!$M$1+1,FALSE)</f>
        <v>Finanční prostředky na realizaci mitigačných opatření z celkového rozpočtu města</v>
      </c>
      <c r="C63" s="65" t="str">
        <f>IF('M-GOV4'!B$4="",VLOOKUP(2,Lang!$A$6:$K$1006,Lang!$M$1+1,FALSE),'M-GOV4'!B$4)</f>
        <v>nezadáno</v>
      </c>
    </row>
    <row r="64" spans="1:3" s="33" customFormat="1" ht="15.95" customHeight="1" x14ac:dyDescent="0.25">
      <c r="A64" s="79" t="s">
        <v>289</v>
      </c>
      <c r="B64" s="39" t="str">
        <f>VLOOKUP(65,Lang!$A$6:$K$1006,Lang!$M$1+1,FALSE)</f>
        <v>Podíl obytných budov v dané energetické třídě podle spotřeby tepla na vytápění</v>
      </c>
      <c r="C64" s="66">
        <f>IF('M-GOV5'!B$4="",VLOOKUP(2,Lang!$A$6:$K$1006,Lang!$M$1+1,FALSE),'M-GOV5'!B$4)</f>
        <v>0</v>
      </c>
    </row>
    <row r="65" spans="1:3" s="33" customFormat="1" ht="15.95" customHeight="1" x14ac:dyDescent="0.25">
      <c r="A65" s="79" t="s">
        <v>290</v>
      </c>
      <c r="B65" s="39" t="str">
        <f>VLOOKUP(66,Lang!$A$6:$K$1006,Lang!$M$1+1,FALSE)</f>
        <v>Podíl světelných míst veřejného osvětlení vyměněných za efektivnější zdroj</v>
      </c>
      <c r="C65" s="65" t="str">
        <f>IF('M-GOV6'!B$4="",VLOOKUP(2,Lang!$A$6:$K$1006,Lang!$M$1+1,FALSE),'M-GOV6'!B$4)</f>
        <v>nezadáno</v>
      </c>
    </row>
    <row r="66" spans="1:3" s="33" customFormat="1" ht="15.95" customHeight="1" x14ac:dyDescent="0.25">
      <c r="A66" s="79" t="s">
        <v>291</v>
      </c>
      <c r="B66" s="39" t="str">
        <f>VLOOKUP(67,Lang!$A$6:$K$1006,Lang!$M$1+1,FALSE)</f>
        <v>Instalovaný výkon nově nainstalovaných fotovoltaických panelů na obyvatele</v>
      </c>
      <c r="C66" s="65" t="str">
        <f>IF('M-GOV7'!B$4="",VLOOKUP(2,Lang!$A$6:$K$1006,Lang!$M$1+1,FALSE),'M-GOV7'!B$4)</f>
        <v>nezadáno</v>
      </c>
    </row>
    <row r="67" spans="1:3" s="33" customFormat="1" ht="15.95" customHeight="1" x14ac:dyDescent="0.25">
      <c r="A67" s="79" t="s">
        <v>292</v>
      </c>
      <c r="B67" s="39" t="str">
        <f>VLOOKUP(68,Lang!$A$6:$K$1006,Lang!$M$1+1,FALSE)</f>
        <v>Celkový výkon náhradních zdrojů na výrobu elektřiny</v>
      </c>
      <c r="C67" s="65" t="str">
        <f>IF('M-GOV8'!B$4="",VLOOKUP(2,Lang!$A$6:$K$1006,Lang!$M$1+1,FALSE),'M-GOV8'!B$4)</f>
        <v>nezadáno</v>
      </c>
    </row>
    <row r="68" spans="1:3" s="33" customFormat="1" ht="30" x14ac:dyDescent="0.25">
      <c r="A68" s="79" t="s">
        <v>293</v>
      </c>
      <c r="B68" s="39" t="str">
        <f>VLOOKUP(69,Lang!$A$6:$K$1006,Lang!$M$1+1,FALSE)</f>
        <v>Veřejné budovy ve správě města/městské části/obce renovované za účelem zvýšení jejich adaptability na dopady změny klimatu</v>
      </c>
      <c r="C68" s="65" t="str">
        <f>IF('M-GOV9'!B$4="",VLOOKUP(2,Lang!$A$6:$K$1006,Lang!$M$1+1,FALSE),'M-GOV9'!B$4)</f>
        <v>nezadáno</v>
      </c>
    </row>
    <row r="69" spans="1:3" s="33" customFormat="1" ht="15.95" customHeight="1" x14ac:dyDescent="0.25">
      <c r="A69" s="79" t="s">
        <v>294</v>
      </c>
      <c r="B69" s="39" t="str">
        <f>VLOOKUP(70,Lang!$A$6:$K$1006,Lang!$M$1+1,FALSE)</f>
        <v>Rozloha plochy území změněné na zelenou infrastrukturu</v>
      </c>
      <c r="C69" s="65" t="str">
        <f>IF('M-GOV10'!B$4="",VLOOKUP(2,Lang!$A$6:$K$1006,Lang!$M$1+1,FALSE),'M-GOV10'!B$4)</f>
        <v>nezadáno</v>
      </c>
    </row>
    <row r="70" spans="1:3" s="33" customFormat="1" ht="15.95" customHeight="1" x14ac:dyDescent="0.25">
      <c r="A70" s="79" t="s">
        <v>295</v>
      </c>
      <c r="B70" s="39" t="str">
        <f>VLOOKUP(71,Lang!$A$6:$K$1006,Lang!$M$1+1,FALSE)</f>
        <v>Podíl ztrát vody v distribučním systému na celkové výrobě</v>
      </c>
      <c r="C70" s="65" t="str">
        <f>IF('M-GOV11'!B$4="",VLOOKUP(2,Lang!$A$6:$K$1006,Lang!$M$1+1,FALSE),'M-GOV11'!B$4)</f>
        <v>nezadáno</v>
      </c>
    </row>
    <row r="71" spans="1:3" s="33" customFormat="1" ht="31.5" customHeight="1" x14ac:dyDescent="0.25">
      <c r="A71" s="79" t="s">
        <v>296</v>
      </c>
      <c r="B71" s="39" t="str">
        <f>VLOOKUP(72,Lang!$A$6:$K$1006,Lang!$M$1+1,FALSE)</f>
        <v xml:space="preserve">Počet osvětových akcí pro obyvatele a místní aktéry zaměřených na vzdělávání a zvyšování kompetencí (způsobilosti) v oblasti změny klimatu                                                                                                                           </v>
      </c>
      <c r="C71" s="65" t="str">
        <f>IF('M-GOV12'!B$4="",VLOOKUP(2,Lang!$A$6:$K$1006,Lang!$M$1+1,FALSE),'M-GOV12'!B$4)</f>
        <v>nezadáno</v>
      </c>
    </row>
    <row r="72" spans="1:3" s="33" customFormat="1" ht="15.95" customHeight="1" x14ac:dyDescent="0.25">
      <c r="A72" s="79" t="s">
        <v>297</v>
      </c>
      <c r="B72" s="39" t="str">
        <f>VLOOKUP(73,Lang!$A$6:$K$1006,Lang!$M$1+1,FALSE)</f>
        <v>Podíl obyvatel s trvalým přístupem k některému ze zdrojů informování (SMS, mail…)</v>
      </c>
      <c r="C72" s="65" t="str">
        <f>IF('M-GOV13'!B$4="",VLOOKUP(2,Lang!$A$6:$K$1006,Lang!$M$1+1,FALSE),'M-GOV13'!B$4)</f>
        <v>nezadáno</v>
      </c>
    </row>
    <row r="73" spans="1:3" s="33" customFormat="1" ht="15.95" customHeight="1" x14ac:dyDescent="0.25">
      <c r="A73" s="79" t="s">
        <v>298</v>
      </c>
      <c r="B73" s="39" t="str">
        <f>VLOOKUP(74,Lang!$A$6:$K$1006,Lang!$M$1+1,FALSE)</f>
        <v>Zastavění půdy zemědělského půdního fondu (ZPF)</v>
      </c>
      <c r="C73" s="65" t="str">
        <f>IF('M-GOV14'!B$4="",VLOOKUP(2,Lang!$A$6:$K$1006,Lang!$M$1+1,FALSE),'M-GOV14'!B$4)</f>
        <v>nezadáno</v>
      </c>
    </row>
    <row r="74" spans="1:3" s="33" customFormat="1" ht="30" customHeight="1" x14ac:dyDescent="0.25">
      <c r="A74" s="79" t="s">
        <v>299</v>
      </c>
      <c r="B74" s="39" t="str">
        <f>VLOOKUP(75,Lang!$A$6:$K$1006,Lang!$M$1+1,FALSE)</f>
        <v xml:space="preserve">Podíl energie z OZE (obnovitelná elektřina, teplo a chlad z obnovitelných zdrojů ) ve veřejných budovách ve správě města                                                                                                                                                                        </v>
      </c>
      <c r="C74" s="65" t="str">
        <f>IF('M-GOV15'!B$4="",VLOOKUP(2,Lang!$A$6:$K$1006,Lang!$M$1+1,FALSE),'M-GOV15'!B$4)</f>
        <v>nezadáno</v>
      </c>
    </row>
    <row r="75" spans="1:3" s="33" customFormat="1" ht="15.95" customHeight="1" x14ac:dyDescent="0.25">
      <c r="A75" s="79" t="s">
        <v>300</v>
      </c>
      <c r="B75" s="39" t="str">
        <f>VLOOKUP(76,Lang!$A$6:$K$1006,Lang!$M$1+1,FALSE)</f>
        <v xml:space="preserve">Výroba energie z obnovitelných zdrojů v rámci administrativního území obce                                                    </v>
      </c>
      <c r="C75" s="65" t="str">
        <f>IF('M-GOV16'!B$4="",VLOOKUP(2,Lang!$A$6:$K$1006,Lang!$M$1+1,FALSE),'M-GOV16'!B$4)</f>
        <v>nezadáno</v>
      </c>
    </row>
    <row r="76" spans="1:3" s="33" customFormat="1" x14ac:dyDescent="0.25">
      <c r="C76" s="61"/>
    </row>
    <row r="77" spans="1:3" s="33" customFormat="1" x14ac:dyDescent="0.25">
      <c r="C77" s="61"/>
    </row>
    <row r="78" spans="1:3" s="33" customFormat="1" x14ac:dyDescent="0.25">
      <c r="C78" s="61"/>
    </row>
    <row r="79" spans="1:3" s="33" customFormat="1" x14ac:dyDescent="0.25">
      <c r="C79" s="61"/>
    </row>
    <row r="80" spans="1:3" s="33" customFormat="1" x14ac:dyDescent="0.25">
      <c r="C80" s="61"/>
    </row>
    <row r="81" spans="3:3" s="33" customFormat="1" x14ac:dyDescent="0.25">
      <c r="C81" s="61"/>
    </row>
    <row r="82" spans="3:3" s="33" customFormat="1" x14ac:dyDescent="0.25">
      <c r="C82" s="61"/>
    </row>
    <row r="83" spans="3:3" s="33" customFormat="1" x14ac:dyDescent="0.25">
      <c r="C83" s="61"/>
    </row>
    <row r="84" spans="3:3" s="33" customFormat="1" x14ac:dyDescent="0.25">
      <c r="C84" s="61"/>
    </row>
    <row r="85" spans="3:3" s="33" customFormat="1" x14ac:dyDescent="0.25">
      <c r="C85" s="61"/>
    </row>
    <row r="86" spans="3:3" s="33" customFormat="1" x14ac:dyDescent="0.25">
      <c r="C86" s="61"/>
    </row>
    <row r="87" spans="3:3" s="33" customFormat="1" x14ac:dyDescent="0.25">
      <c r="C87" s="61"/>
    </row>
    <row r="88" spans="3:3" s="33" customFormat="1" x14ac:dyDescent="0.25">
      <c r="C88" s="61"/>
    </row>
    <row r="89" spans="3:3" s="33" customFormat="1" x14ac:dyDescent="0.25">
      <c r="C89" s="61"/>
    </row>
    <row r="90" spans="3:3" s="33" customFormat="1" x14ac:dyDescent="0.25">
      <c r="C90" s="61"/>
    </row>
    <row r="91" spans="3:3" s="33" customFormat="1" x14ac:dyDescent="0.25">
      <c r="C91" s="61"/>
    </row>
    <row r="92" spans="3:3" s="33" customFormat="1" x14ac:dyDescent="0.25">
      <c r="C92" s="61"/>
    </row>
    <row r="93" spans="3:3" s="33" customFormat="1" x14ac:dyDescent="0.25">
      <c r="C93" s="61"/>
    </row>
    <row r="94" spans="3:3" s="33" customFormat="1" x14ac:dyDescent="0.25">
      <c r="C94" s="61"/>
    </row>
    <row r="95" spans="3:3" s="33" customFormat="1" x14ac:dyDescent="0.25">
      <c r="C95" s="61"/>
    </row>
    <row r="96" spans="3:3" s="33" customFormat="1" x14ac:dyDescent="0.25">
      <c r="C96" s="61"/>
    </row>
    <row r="97" spans="3:3" s="33" customFormat="1" x14ac:dyDescent="0.25">
      <c r="C97" s="61"/>
    </row>
    <row r="98" spans="3:3" s="33" customFormat="1" x14ac:dyDescent="0.25">
      <c r="C98" s="61"/>
    </row>
    <row r="99" spans="3:3" s="33" customFormat="1" x14ac:dyDescent="0.25">
      <c r="C99" s="61"/>
    </row>
    <row r="100" spans="3:3" s="33" customFormat="1" x14ac:dyDescent="0.25">
      <c r="C100" s="61"/>
    </row>
    <row r="101" spans="3:3" s="33" customFormat="1" x14ac:dyDescent="0.25">
      <c r="C101" s="61"/>
    </row>
    <row r="102" spans="3:3" s="33" customFormat="1" x14ac:dyDescent="0.25">
      <c r="C102" s="61"/>
    </row>
    <row r="103" spans="3:3" s="33" customFormat="1" x14ac:dyDescent="0.25">
      <c r="C103" s="61"/>
    </row>
    <row r="104" spans="3:3" s="33" customFormat="1" x14ac:dyDescent="0.25">
      <c r="C104" s="61"/>
    </row>
    <row r="105" spans="3:3" s="33" customFormat="1" x14ac:dyDescent="0.25">
      <c r="C105" s="61"/>
    </row>
    <row r="106" spans="3:3" s="33" customFormat="1" x14ac:dyDescent="0.25">
      <c r="C106" s="61"/>
    </row>
    <row r="107" spans="3:3" s="33" customFormat="1" x14ac:dyDescent="0.25">
      <c r="C107" s="61"/>
    </row>
    <row r="108" spans="3:3" s="33" customFormat="1" x14ac:dyDescent="0.25">
      <c r="C108" s="61"/>
    </row>
    <row r="109" spans="3:3" s="33" customFormat="1" x14ac:dyDescent="0.25">
      <c r="C109" s="61"/>
    </row>
    <row r="110" spans="3:3" s="33" customFormat="1" x14ac:dyDescent="0.25">
      <c r="C110" s="61"/>
    </row>
    <row r="111" spans="3:3" s="33" customFormat="1" x14ac:dyDescent="0.25">
      <c r="C111" s="61"/>
    </row>
    <row r="112" spans="3:3" s="33" customFormat="1" x14ac:dyDescent="0.25">
      <c r="C112" s="61"/>
    </row>
    <row r="113" spans="3:3" s="33" customFormat="1" x14ac:dyDescent="0.25">
      <c r="C113" s="61"/>
    </row>
    <row r="114" spans="3:3" s="33" customFormat="1" x14ac:dyDescent="0.25">
      <c r="C114" s="61"/>
    </row>
    <row r="115" spans="3:3" s="33" customFormat="1" x14ac:dyDescent="0.25">
      <c r="C115" s="61"/>
    </row>
    <row r="116" spans="3:3" s="33" customFormat="1" x14ac:dyDescent="0.25">
      <c r="C116" s="61"/>
    </row>
    <row r="117" spans="3:3" s="33" customFormat="1" x14ac:dyDescent="0.25">
      <c r="C117" s="61"/>
    </row>
    <row r="118" spans="3:3" s="33" customFormat="1" x14ac:dyDescent="0.25">
      <c r="C118" s="61"/>
    </row>
    <row r="119" spans="3:3" s="33" customFormat="1" x14ac:dyDescent="0.25">
      <c r="C119" s="61"/>
    </row>
    <row r="120" spans="3:3" s="33" customFormat="1" x14ac:dyDescent="0.25">
      <c r="C120" s="61"/>
    </row>
    <row r="121" spans="3:3" s="33" customFormat="1" x14ac:dyDescent="0.25">
      <c r="C121" s="61"/>
    </row>
    <row r="122" spans="3:3" s="33" customFormat="1" x14ac:dyDescent="0.25">
      <c r="C122" s="61"/>
    </row>
    <row r="123" spans="3:3" s="33" customFormat="1" x14ac:dyDescent="0.25">
      <c r="C123" s="61"/>
    </row>
    <row r="124" spans="3:3" s="33" customFormat="1" x14ac:dyDescent="0.25">
      <c r="C124" s="61"/>
    </row>
    <row r="125" spans="3:3" s="33" customFormat="1" x14ac:dyDescent="0.25">
      <c r="C125" s="61"/>
    </row>
    <row r="126" spans="3:3" s="33" customFormat="1" x14ac:dyDescent="0.25">
      <c r="C126" s="61"/>
    </row>
    <row r="127" spans="3:3" s="33" customFormat="1" x14ac:dyDescent="0.25">
      <c r="C127" s="61"/>
    </row>
    <row r="128" spans="3:3" s="33" customFormat="1" x14ac:dyDescent="0.25">
      <c r="C128" s="61"/>
    </row>
    <row r="129" spans="3:3" s="33" customFormat="1" x14ac:dyDescent="0.25">
      <c r="C129" s="61"/>
    </row>
  </sheetData>
  <sheetProtection sheet="1" objects="1" scenarios="1"/>
  <mergeCells count="1">
    <mergeCell ref="A1:B1"/>
  </mergeCells>
  <hyperlinks>
    <hyperlink ref="A2" location="'Identifikace města-MČ'!A1" display="'Identifikace města-MČ'!A1"/>
    <hyperlink ref="A6" location="'M-POP1'!A1" tooltip="stáhnout metodický list indikátoru" display="M-POP1"/>
    <hyperlink ref="A7" location="'M-POP2'!A1" tooltip="stáhnout metodický list indikátoru" display="M-POP2"/>
    <hyperlink ref="A8" location="'M-POP3'!A1" tooltip="stáhnout metodický list indikátoru" display="M-POP3"/>
    <hyperlink ref="A9" location="'M-POP4'!A1" tooltip="stáhnout metodický list indikátoru" display="M-POP4"/>
    <hyperlink ref="A10" location="'M-POP5'!A1" tooltip="stáhnout metodický list indikátoru" display="M-POP5"/>
    <hyperlink ref="A11" location="'M-POP6'!A1" tooltip="stáhnout metodický list indikátoru" display="M-POP6"/>
    <hyperlink ref="A12" location="'M-POP7'!A1" tooltip="stáhnout metodický list indikátoru" display="M-POP7"/>
    <hyperlink ref="A13" location="'M-POP8'!A1" tooltip="stáhnout metodický list indikátoru" display="M-POP8"/>
    <hyperlink ref="A14" location="'M-POP9'!A1" tooltip="stáhnout metodický list indikátoru" display="M-POP9"/>
    <hyperlink ref="A15" location="'M-POP10'!A1" tooltip="stáhnout metodický list indikátoru" display="M-POP10"/>
    <hyperlink ref="A16" location="'M-POP11'!A1" tooltip="stáhnout metodický list indikátoru" display="M-POP11"/>
    <hyperlink ref="A17" location="'M-POP12'!A1" tooltip="stáhnout metodický list indikátoru" display="M-POP12"/>
    <hyperlink ref="A18" location="'M-POP13'!A1" tooltip="stáhnout metodický list indikátoru" display="M-POP13"/>
    <hyperlink ref="A19" location="'M-POP14'!A1" tooltip="stáhnout metodický list indikátoru" display="M-POP14"/>
    <hyperlink ref="A20" location="'M-EXP1'!A1" tooltip="stáhnout metodický list indikátoru" display="M-EXP1"/>
    <hyperlink ref="A21" location="'M-EXP2'!A1" tooltip="stáhnout metodický list indikátoru" display="M-EXP2"/>
    <hyperlink ref="A22" location="'M-EXP3'!A1" tooltip="stáhnout metodický list indikátoru" display="M-EXP3"/>
    <hyperlink ref="A23" location="'M-EXP4'!A1" tooltip="stáhnout metodický list indikátoru" display="M-EXP4"/>
    <hyperlink ref="A24" location="'M-EXP5'!A1" tooltip="stáhnout metodický list indikátoru" display="M-EXP5"/>
    <hyperlink ref="A25" location="'M-EXP6'!A1" tooltip="stáhnout metodický list indikátoru" display="M-EXP6"/>
    <hyperlink ref="A26" location="'M-EXP7'!A1" tooltip="stáhnout metodický list indikátoru" display="M-EXP7"/>
    <hyperlink ref="A27" location="'M-EXP8'!A1" tooltip="stáhnout metodický list indikátoru" display="M-EXP8"/>
    <hyperlink ref="A28" location="'M-EXP9'!A1" tooltip="stáhnout metodický list indikátoru" display="M-EXP9"/>
    <hyperlink ref="A29" location="'M-EXP10'!A1" tooltip="stáhnout metodický list indikátoru" display="M-EXP10"/>
    <hyperlink ref="A30" location="'M-AD1'!A1" tooltip="stáhnout metodický list indikátoru" display="M-AD1"/>
    <hyperlink ref="A31" location="'M-AD2'!A1" tooltip="stáhnout metodický list indikátoru" display="M-AD2"/>
    <hyperlink ref="A32" location="'M-AD3'!A1" tooltip="stáhnout metodický list indikátoru" display="M-AD3"/>
    <hyperlink ref="A33" location="'M-AD4'!A1" tooltip="stáhnout metodický list indikátoru" display="M-AD4"/>
    <hyperlink ref="A34" location="'M-AD5'!A1" tooltip="stáhnout metodický list indikátoru" display="M-AD5"/>
    <hyperlink ref="A35" location="'M-AD6'!A1" tooltip="stáhnout metodický list indikátoru" display="M-AD6"/>
    <hyperlink ref="A36" location="'M-AD7'!A1" tooltip="stáhnout metodický list indikátoru" display="M-AD7"/>
    <hyperlink ref="A37" location="'M-AD8'!A1" tooltip="stáhnout metodický list indikátoru" display="M-AD8"/>
    <hyperlink ref="A38" location="'M-AD9'!A1" tooltip="stáhnout metodický list indikátoru" display="M-AD9"/>
    <hyperlink ref="A39" location="'M-AD10'!A1" tooltip="stáhnout metodický list indikátoru" display="M-AD10"/>
    <hyperlink ref="A40" location="'M-AD11'!A1" tooltip="stáhnout metodický list indikátoru" display="M-AD11"/>
    <hyperlink ref="A41" location="'M-AD12'!A1" tooltip="stáhnout metodický list indikátoru" display="M-AD12"/>
    <hyperlink ref="A42" location="'M-AD13'!A1" tooltip="stáhnout metodický list indikátoru" display="M-AD13"/>
    <hyperlink ref="A43" location="'M-AD14'!A1" tooltip="stáhnout metodický list indikátoru" display="M-AD14"/>
    <hyperlink ref="A44" location="'M-AD15'!A1" tooltip="stáhnout metodický list indikátoru" display="M-AD15"/>
    <hyperlink ref="A45" location="'M-AD16'!A1" tooltip="stáhnout metodický list indikátoru" display="M-AD16"/>
    <hyperlink ref="A46" location="'M-MIT1'!A1" tooltip="stáhnout metodický list indikátoru" display="M-MIT1"/>
    <hyperlink ref="A47" location="'M-MIT2'!A1" tooltip="stáhnout metodický list indikátoru" display="M-MIT2"/>
    <hyperlink ref="A48" location="'M-MIT3'!A1" tooltip="stáhnout metodický list indikátoru" display="M-MIT3"/>
    <hyperlink ref="A49" location="'M-MIT4'!A1" tooltip="stáhnout metodický list indikátoru" display="M-MIT4"/>
    <hyperlink ref="A50" location="'M-MIT15'!A1" tooltip="stáhnout metodický list indikátoru" display="M-MIT5"/>
    <hyperlink ref="A51" location="'M-MIT6'!A1" tooltip="stáhnout metodický list indikátoru" display="M-MIT6"/>
    <hyperlink ref="A52" location="'M-MIT8'!A1" tooltip="stáhnout metodický list indikátoru" display="M-MIT8"/>
    <hyperlink ref="A53" location="'M-MIT9'!A1" tooltip="stáhnout metodický list indikátoru" display="M-MIT9"/>
    <hyperlink ref="A54" location="'M-MIT10'!A1" tooltip="stáhnout metodický list indikátoru" display="M-MIT10"/>
    <hyperlink ref="A55" location="'M-MIT13'!A1" tooltip="stáhnout metodický list indikátoru" display="M-MIT13"/>
    <hyperlink ref="A56" location="'M-MIT14'!A1" tooltip="stáhnout metodický list indikátoru" display="M-MIT14"/>
    <hyperlink ref="A57" location="'M-MIT15'!A1" tooltip="stáhnout metodický list indikátoru" display="M-MIT15"/>
    <hyperlink ref="A58" location="'M-MIT16'!A1" tooltip="stáhnout metodický list indikátoru" display="M-MIT16"/>
    <hyperlink ref="A59" location="'M-MIT17'!A1" tooltip="stáhnout metodický list indikátoru" display="M-MIT17"/>
    <hyperlink ref="A60" location="'M-GOV1'!A1" tooltip="stáhnout metodický list indikátoru" display="M-GOV1"/>
    <hyperlink ref="A61" location="'M-GOV2'!A1" tooltip="stáhnout metodický list indikátoru" display="M-GOV2"/>
    <hyperlink ref="A62" location="'M-GOV3'!A1" tooltip="stáhnout metodický list indikátoru" display="M-GOV3"/>
    <hyperlink ref="A63" location="'M-GOV4'!A1" tooltip="stáhnout metodický list indikátoru" display="M-GOV4"/>
    <hyperlink ref="A64" location="'M-GOV5'!A1" tooltip="stáhnout metodický list indikátoru" display="M-GOV5"/>
    <hyperlink ref="A65" location="'M-GOV6'!A1" tooltip="stáhnout metodický list indikátoru" display="M-GOV6"/>
    <hyperlink ref="A66" location="'M-GOV7'!A1" tooltip="stáhnout metodický list indikátoru" display="M-GOV7"/>
    <hyperlink ref="A67" location="'M-GOV8'!A1" tooltip="stáhnout metodický list indikátoru" display="M-GOV8"/>
    <hyperlink ref="A68" location="'M-GOV9'!A1" tooltip="stáhnout metodický list indikátoru" display="M-GOV9"/>
    <hyperlink ref="A69" location="'M-GOV10'!A1" tooltip="stáhnout metodický list indikátoru" display="M-GOV10"/>
    <hyperlink ref="A70" location="'M-GOV11'!A1" tooltip="stáhnout metodický list indikátoru" display="M-GOV11"/>
    <hyperlink ref="A71" location="'M-GOV12'!A1" tooltip="stáhnout metodický list indikátoru" display="M-GOV12"/>
    <hyperlink ref="A72" location="'M-GOV13'!A1" tooltip="stáhnout metodický list indikátoru" display="M-GOV13"/>
    <hyperlink ref="A73" location="'M-GOV14'!A1" tooltip="stáhnout metodický list indikátoru" display="M-GOV14"/>
    <hyperlink ref="A74" location="'M-GOV15'!A1" tooltip="stáhnout metodický list indikátoru" display="M-GOV15"/>
    <hyperlink ref="A75" location="'M-GOV16'!A1" tooltip="stáhnout metodický list indikátoru" display="M-GOV16"/>
  </hyperlinks>
  <pageMargins left="0.7" right="0.7" top="0.78740157499999996" bottom="0.78740157499999996"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Lang!$L$2:$L$4</xm:f>
          </x14:formula1>
          <xm:sqref>E1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1"/>
  <sheetViews>
    <sheetView showGridLines="0" workbookViewId="0">
      <selection activeCell="B4" sqref="B4"/>
    </sheetView>
  </sheetViews>
  <sheetFormatPr defaultRowHeight="15" x14ac:dyDescent="0.25"/>
  <cols>
    <col min="1" max="1" width="104.28515625" style="1" customWidth="1"/>
    <col min="2" max="2" width="38" bestFit="1" customWidth="1"/>
    <col min="3" max="3" width="29.85546875" bestFit="1" customWidth="1"/>
    <col min="4" max="4" width="13.28515625" customWidth="1"/>
    <col min="5" max="5" width="9.140625" customWidth="1"/>
    <col min="6" max="6" width="18.5703125" hidden="1" customWidth="1"/>
  </cols>
  <sheetData>
    <row r="1" spans="1:3" ht="21" x14ac:dyDescent="0.25">
      <c r="A1" s="122" t="str">
        <f>CONCATENATE("M-POP7 – ",VLOOKUP(13,Lang!$A$6:$K$1006,Lang!$M$1+1,FALSE))</f>
        <v xml:space="preserve">M-POP7 – Zastavěné území </v>
      </c>
      <c r="B1" s="122"/>
    </row>
    <row r="2" spans="1:3" ht="28.5" customHeight="1" x14ac:dyDescent="0.25">
      <c r="A2" s="88" t="str">
        <f>VLOOKUP(130,Lang!$A$6:$K$1006,Lang!$M$1+1,FALSE)</f>
        <v>Metodický list indikátoru</v>
      </c>
    </row>
    <row r="4" spans="1:3" x14ac:dyDescent="0.25">
      <c r="A4" s="6" t="str">
        <f>VLOOKUP(113,Lang!$A$6:$K$1006,Lang!$M$1+1,FALSE)</f>
        <v>Podíl zastaveného území</v>
      </c>
      <c r="B4" s="128"/>
    </row>
    <row r="6" spans="1:3" x14ac:dyDescent="0.25">
      <c r="A6" s="13" t="str">
        <f>VLOOKUP(400,Lang!$A$6:$K$1006,Lang!$M$1+1,FALSE)</f>
        <v>Pomůcka - pomocný výpočet</v>
      </c>
    </row>
    <row r="7" spans="1:3" x14ac:dyDescent="0.25">
      <c r="A7" s="47" t="str">
        <f>VLOOKUP(114,Lang!$A$6:$K$1006,Lang!$M$1+1,FALSE)</f>
        <v>Do žlutého pole zadejte plochu zastavěného území v ha, podíl v % se dopočte</v>
      </c>
    </row>
    <row r="8" spans="1:3" x14ac:dyDescent="0.25">
      <c r="A8" s="1" t="str">
        <f>VLOOKUP(115,Lang!$A$6:$K$1006,Lang!$M$1+1,FALSE)</f>
        <v>Plocha zastavěného území v ha</v>
      </c>
      <c r="B8" s="127"/>
    </row>
    <row r="9" spans="1:3" ht="15.75" thickBot="1" x14ac:dyDescent="0.3">
      <c r="A9" s="95" t="str">
        <f>IF('M-POP2'!B4="",VLOOKUP(91,Lang!$A$6:$K$1006,Lang!$M$1+1,FALSE),VLOOKUP(92,Lang!$A$6:$K$1006,Lang!$M$1+1,FALSE))</f>
        <v>Zadejte nejprve hodnotu M-POP2</v>
      </c>
      <c r="B9" t="str">
        <f>IF('M-POP2'!B4="","N/A",'M-POP2'!B4)</f>
        <v>N/A</v>
      </c>
    </row>
    <row r="10" spans="1:3" ht="15.75" thickBot="1" x14ac:dyDescent="0.3">
      <c r="A10" s="15" t="str">
        <f>IF('M-POP2'!B4="",VLOOKUP(93,Lang!$A$6:$K$1006,Lang!$M$1+1,FALSE),VLOOKUP(94,Lang!$A$6:$K$1006,Lang!$M$1+1,FALSE))</f>
        <v>Výpočet nemůže proběhnout</v>
      </c>
      <c r="B10" s="16" t="str">
        <f>IF('M-POP2'!B4="","N/A",+B8/B9)</f>
        <v>N/A</v>
      </c>
    </row>
    <row r="12" spans="1:3" x14ac:dyDescent="0.25">
      <c r="A12" s="123" t="str">
        <f>VLOOKUP(95,Lang!$A$6:$K$1006,Lang!$M$1+1,FALSE)</f>
        <v>V tabulce níže můžete průběžně kontrolovat, zda zadané rozlohy jednotlivých typů území nepřekračují celkovou rozlohu města</v>
      </c>
      <c r="B12" s="123"/>
      <c r="C12" s="123"/>
    </row>
    <row r="14" spans="1:3" x14ac:dyDescent="0.25">
      <c r="A14" s="8" t="str">
        <f>VLOOKUP(96,Lang!$A$6:$K$1006,Lang!$M$1+1,FALSE)</f>
        <v>Průběžná kontrola skladby území:</v>
      </c>
      <c r="B14" s="9" t="str">
        <f>VLOOKUP(97,Lang!$A$6:$K$1006,Lang!$M$1+1,FALSE)</f>
        <v>Pomocné výpočty</v>
      </c>
      <c r="C14" s="9" t="str">
        <f>VLOOKUP(98,Lang!$A$6:$K$1006,Lang!$M$1+1,FALSE)</f>
        <v>Zadaná hodnota</v>
      </c>
    </row>
    <row r="15" spans="1:3" x14ac:dyDescent="0.25">
      <c r="A15" s="91" t="str">
        <f>IF('M-POP2'!B4="",VLOOKUP(99,Lang!$A$6:$K$1006,Lang!$M$1+1,FALSE),VLOOKUP(100,Lang!$A$6:$K$1006,Lang!$M$1+1,FALSE))</f>
        <v>Není zadána rozloha města</v>
      </c>
      <c r="B15" s="3" t="str">
        <f>IF('M-POP2'!B4="","N/A",B9)</f>
        <v>N/A</v>
      </c>
      <c r="C15" s="7" t="s">
        <v>0</v>
      </c>
    </row>
    <row r="16" spans="1:3" x14ac:dyDescent="0.25">
      <c r="A16" s="91" t="str">
        <f>VLOOKUP(101,Lang!$A$6:$K$1006,Lang!$M$1+1,FALSE)</f>
        <v>Zemědělská půda (M-POP4)</v>
      </c>
      <c r="B16" s="4">
        <f>+'M-POP4'!B8</f>
        <v>0</v>
      </c>
      <c r="C16" s="4">
        <f>+'M-POP4'!B4</f>
        <v>0</v>
      </c>
    </row>
    <row r="17" spans="1:3" x14ac:dyDescent="0.25">
      <c r="A17" s="91" t="str">
        <f>VLOOKUP(102,Lang!$A$6:$K$1006,Lang!$M$1+1,FALSE)</f>
        <v>Lesní půda (M-POP5)</v>
      </c>
      <c r="B17" s="4">
        <f>+'M-POP5'!B8</f>
        <v>0</v>
      </c>
      <c r="C17" s="4">
        <f>+'M-POP5'!B4</f>
        <v>0</v>
      </c>
    </row>
    <row r="18" spans="1:3" x14ac:dyDescent="0.25">
      <c r="A18" s="91" t="str">
        <f>VLOOKUP(103,Lang!$A$6:$K$1006,Lang!$M$1+1,FALSE)</f>
        <v>Vodní plochy (M-POP6)</v>
      </c>
      <c r="B18" s="4">
        <f>+'M-POP6'!B8</f>
        <v>0</v>
      </c>
      <c r="C18" s="4">
        <f>+'M-POP6'!B4</f>
        <v>0</v>
      </c>
    </row>
    <row r="19" spans="1:3" x14ac:dyDescent="0.25">
      <c r="A19" s="91" t="str">
        <f>VLOOKUP(104,Lang!$A$6:$K$1006,Lang!$M$1+1,FALSE)</f>
        <v>Zastavěné území (M-POP7)</v>
      </c>
      <c r="B19" s="4">
        <f>+'M-POP7'!B8</f>
        <v>0</v>
      </c>
      <c r="C19" s="4">
        <f>+'M-POP7'!B4</f>
        <v>0</v>
      </c>
    </row>
    <row r="20" spans="1:3" x14ac:dyDescent="0.25">
      <c r="A20" s="91" t="str">
        <f>VLOOKUP(105,Lang!$A$6:$K$1006,Lang!$M$1+1,FALSE)</f>
        <v>Ostatní plochy (M-POP8)</v>
      </c>
      <c r="B20" s="4">
        <f>+'M-POP8'!B8</f>
        <v>0</v>
      </c>
      <c r="C20" s="4">
        <f>+'M-POP8'!B4</f>
        <v>0</v>
      </c>
    </row>
    <row r="21" spans="1:3" x14ac:dyDescent="0.25">
      <c r="A21" s="6" t="str">
        <f>VLOOKUP(106,Lang!$A$6:$K$1006,Lang!$M$1+1,FALSE)</f>
        <v>Celkem zadáno z rozlohy</v>
      </c>
      <c r="B21" s="17">
        <f>SUM(B16:B20)</f>
        <v>0</v>
      </c>
      <c r="C21" s="17">
        <f>SUM(C16:C20)</f>
        <v>0</v>
      </c>
    </row>
  </sheetData>
  <sheetProtection sheet="1" objects="1" scenarios="1"/>
  <mergeCells count="2">
    <mergeCell ref="A12:C12"/>
    <mergeCell ref="A1:B1"/>
  </mergeCells>
  <conditionalFormatting sqref="B21">
    <cfRule type="expression" dxfId="78" priority="3">
      <formula>$B$21&gt;$B$15</formula>
    </cfRule>
    <cfRule type="expression" dxfId="77" priority="4">
      <formula>$B$21&lt;=$B$15</formula>
    </cfRule>
  </conditionalFormatting>
  <conditionalFormatting sqref="C21">
    <cfRule type="expression" dxfId="76" priority="1">
      <formula>$C$21&lt;=1</formula>
    </cfRule>
    <cfRule type="expression" dxfId="75" priority="2">
      <formula>$C$21&gt;1</formula>
    </cfRule>
  </conditionalFormatting>
  <dataValidations count="2">
    <dataValidation type="decimal" allowBlank="1" showInputMessage="1" showErrorMessage="1" errorTitle="Chybný vstup" error="min: 0,0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https://www.klimasken.cz/cs/download/metodicky_list-POP7.pdf"/>
    <hyperlink ref="A16" location="'M-POP4'!A1" display="'M-POP4'!A1"/>
    <hyperlink ref="A17" location="'M-POP5'!A1" display="'M-POP5'!A1"/>
    <hyperlink ref="A18" location="'M-POP6'!A1" display="'M-POP6'!A1"/>
    <hyperlink ref="A19" location="'M-POP7'!A1" display="'M-POP7'!A1"/>
    <hyperlink ref="A20" location="'M-POP8'!A1" display="'M-POP8'!A1"/>
    <hyperlink ref="A15" location="'M-POP2'!B4" display="'M-POP2'!B4"/>
    <hyperlink ref="A9" location="'M-POP2'!B4" display="'M-POP2'!B4"/>
  </hyperlinks>
  <pageMargins left="0.7" right="0.7" top="0.78740157499999996" bottom="0.78740157499999996"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1"/>
  <sheetViews>
    <sheetView showGridLines="0" workbookViewId="0">
      <selection activeCell="B2" sqref="B2"/>
    </sheetView>
  </sheetViews>
  <sheetFormatPr defaultRowHeight="15" x14ac:dyDescent="0.25"/>
  <cols>
    <col min="1" max="1" width="92.7109375" style="1" customWidth="1"/>
    <col min="2" max="2" width="38" bestFit="1" customWidth="1"/>
    <col min="3" max="3" width="29.85546875" bestFit="1" customWidth="1"/>
    <col min="4" max="4" width="13.28515625" customWidth="1"/>
    <col min="5" max="5" width="9.140625" customWidth="1"/>
    <col min="6" max="6" width="18.5703125" hidden="1" customWidth="1"/>
  </cols>
  <sheetData>
    <row r="1" spans="1:3" ht="21" x14ac:dyDescent="0.25">
      <c r="A1" s="122" t="str">
        <f>CONCATENATE("M-POP8 – ",VLOOKUP(14,Lang!$A$6:$K$1006,Lang!$M$1+1,FALSE))</f>
        <v xml:space="preserve">M-POP8 – Ostatní území </v>
      </c>
      <c r="B1" s="122"/>
    </row>
    <row r="2" spans="1:3" ht="28.5" customHeight="1" x14ac:dyDescent="0.25">
      <c r="A2" s="88" t="str">
        <f>VLOOKUP(130,Lang!$A$6:$K$1006,Lang!$M$1+1,FALSE)</f>
        <v>Metodický list indikátoru</v>
      </c>
    </row>
    <row r="4" spans="1:3" x14ac:dyDescent="0.25">
      <c r="A4" s="6" t="str">
        <f>VLOOKUP(116,Lang!$A$6:$K$1006,Lang!$M$1+1,FALSE)</f>
        <v>Podíl ostatního území</v>
      </c>
      <c r="B4" s="130"/>
    </row>
    <row r="6" spans="1:3" x14ac:dyDescent="0.25">
      <c r="A6" s="13" t="str">
        <f>VLOOKUP(400,Lang!$A$6:$K$1006,Lang!$M$1+1,FALSE)</f>
        <v>Pomůcka - pomocný výpočet</v>
      </c>
    </row>
    <row r="7" spans="1:3" s="48" customFormat="1" x14ac:dyDescent="0.25">
      <c r="A7" s="47" t="str">
        <f>VLOOKUP(117,Lang!$A$6:$K$1006,Lang!$M$1+1,FALSE)</f>
        <v>Do žlutého pole zadejte plochu ostatního území v ha, podíl v % se dopočte</v>
      </c>
    </row>
    <row r="8" spans="1:3" x14ac:dyDescent="0.25">
      <c r="A8" s="1" t="str">
        <f>VLOOKUP(118,Lang!$A$6:$K$1006,Lang!$M$1+1,FALSE)</f>
        <v>Plocha ostatního území v ha</v>
      </c>
      <c r="B8" s="127"/>
    </row>
    <row r="9" spans="1:3" ht="15" customHeight="1" thickBot="1" x14ac:dyDescent="0.3">
      <c r="A9" s="95" t="str">
        <f>IF('M-POP2'!B4="",VLOOKUP(91,Lang!$A$6:$K$1006,Lang!$M$1+1,FALSE),VLOOKUP(92,Lang!$A$6:$K$1006,Lang!$M$1+1,FALSE))</f>
        <v>Zadejte nejprve hodnotu M-POP2</v>
      </c>
      <c r="B9" t="str">
        <f>IF('M-POP2'!B4="","N/A",'M-POP2'!B4)</f>
        <v>N/A</v>
      </c>
    </row>
    <row r="10" spans="1:3" ht="15" customHeight="1" thickBot="1" x14ac:dyDescent="0.3">
      <c r="A10" s="30" t="str">
        <f>IF('M-POP2'!B4="",VLOOKUP(93,Lang!$A$6:$K$1006,Lang!$M$1+1,FALSE),VLOOKUP(94,Lang!$A$6:$K$1006,Lang!$M$1+1,FALSE))</f>
        <v>Výpočet nemůže proběhnout</v>
      </c>
      <c r="B10" s="16" t="str">
        <f>IF('M-POP2'!B4="","N/A",+B8/B9)</f>
        <v>N/A</v>
      </c>
    </row>
    <row r="12" spans="1:3" x14ac:dyDescent="0.25">
      <c r="A12" s="123" t="str">
        <f>VLOOKUP(95,Lang!$A$6:$K$1006,Lang!$M$1+1,FALSE)</f>
        <v>V tabulce níže můžete průběžně kontrolovat, zda zadané rozlohy jednotlivých typů území nepřekračují celkovou rozlohu města</v>
      </c>
      <c r="B12" s="123"/>
      <c r="C12" s="123"/>
    </row>
    <row r="14" spans="1:3" x14ac:dyDescent="0.25">
      <c r="A14" s="8" t="str">
        <f>VLOOKUP(96,Lang!$A$6:$K$1006,Lang!$M$1+1,FALSE)</f>
        <v>Průběžná kontrola skladby území:</v>
      </c>
      <c r="B14" s="9" t="str">
        <f>VLOOKUP(97,Lang!$A$6:$K$1006,Lang!$M$1+1,FALSE)</f>
        <v>Pomocné výpočty</v>
      </c>
      <c r="C14" s="9" t="str">
        <f>VLOOKUP(98,Lang!$A$6:$K$1006,Lang!$M$1+1,FALSE)</f>
        <v>Zadaná hodnota</v>
      </c>
    </row>
    <row r="15" spans="1:3" x14ac:dyDescent="0.25">
      <c r="A15" s="91" t="str">
        <f>IF('M-POP2'!B4="",VLOOKUP(99,Lang!$A$6:$K$1006,Lang!$M$1+1,FALSE),VLOOKUP(100,Lang!$A$6:$K$1006,Lang!$M$1+1,FALSE))</f>
        <v>Není zadána rozloha města</v>
      </c>
      <c r="B15" s="3" t="str">
        <f>IF('M-POP2'!B4="","N/A",B9)</f>
        <v>N/A</v>
      </c>
      <c r="C15" s="7" t="s">
        <v>0</v>
      </c>
    </row>
    <row r="16" spans="1:3" x14ac:dyDescent="0.25">
      <c r="A16" s="91" t="str">
        <f>VLOOKUP(101,Lang!$A$6:$K$1006,Lang!$M$1+1,FALSE)</f>
        <v>Zemědělská půda (M-POP4)</v>
      </c>
      <c r="B16" s="4">
        <f>+'M-POP4'!B8</f>
        <v>0</v>
      </c>
      <c r="C16" s="4">
        <f>+'M-POP4'!B4</f>
        <v>0</v>
      </c>
    </row>
    <row r="17" spans="1:3" x14ac:dyDescent="0.25">
      <c r="A17" s="91" t="str">
        <f>VLOOKUP(102,Lang!$A$6:$K$1006,Lang!$M$1+1,FALSE)</f>
        <v>Lesní půda (M-POP5)</v>
      </c>
      <c r="B17" s="4">
        <f>+'M-POP5'!B8</f>
        <v>0</v>
      </c>
      <c r="C17" s="4">
        <f>+'M-POP5'!B4</f>
        <v>0</v>
      </c>
    </row>
    <row r="18" spans="1:3" x14ac:dyDescent="0.25">
      <c r="A18" s="91" t="str">
        <f>VLOOKUP(103,Lang!$A$6:$K$1006,Lang!$M$1+1,FALSE)</f>
        <v>Vodní plochy (M-POP6)</v>
      </c>
      <c r="B18" s="4">
        <f>+'M-POP6'!B8</f>
        <v>0</v>
      </c>
      <c r="C18" s="4">
        <f>+'M-POP6'!B4</f>
        <v>0</v>
      </c>
    </row>
    <row r="19" spans="1:3" x14ac:dyDescent="0.25">
      <c r="A19" s="91" t="str">
        <f>VLOOKUP(104,Lang!$A$6:$K$1006,Lang!$M$1+1,FALSE)</f>
        <v>Zastavěné území (M-POP7)</v>
      </c>
      <c r="B19" s="4">
        <f>+'M-POP7'!B8</f>
        <v>0</v>
      </c>
      <c r="C19" s="4">
        <f>+'M-POP7'!B4</f>
        <v>0</v>
      </c>
    </row>
    <row r="20" spans="1:3" x14ac:dyDescent="0.25">
      <c r="A20" s="91" t="str">
        <f>VLOOKUP(105,Lang!$A$6:$K$1006,Lang!$M$1+1,FALSE)</f>
        <v>Ostatní plochy (M-POP8)</v>
      </c>
      <c r="B20" s="4">
        <f>+'M-POP8'!B8</f>
        <v>0</v>
      </c>
      <c r="C20" s="4">
        <f>+'M-POP8'!B4</f>
        <v>0</v>
      </c>
    </row>
    <row r="21" spans="1:3" x14ac:dyDescent="0.25">
      <c r="A21" s="6" t="str">
        <f>VLOOKUP(106,Lang!$A$6:$K$1006,Lang!$M$1+1,FALSE)</f>
        <v>Celkem zadáno z rozlohy</v>
      </c>
      <c r="B21" s="17">
        <f>SUM(B16:B20)</f>
        <v>0</v>
      </c>
      <c r="C21" s="17">
        <f>SUM(C16:C20)</f>
        <v>0</v>
      </c>
    </row>
  </sheetData>
  <sheetProtection sheet="1" objects="1" scenarios="1"/>
  <mergeCells count="2">
    <mergeCell ref="A12:C12"/>
    <mergeCell ref="A1:B1"/>
  </mergeCells>
  <conditionalFormatting sqref="B21">
    <cfRule type="expression" dxfId="74" priority="3">
      <formula>$B$21&gt;$B$15</formula>
    </cfRule>
    <cfRule type="expression" dxfId="73" priority="4">
      <formula>$B$21&lt;=$B$15</formula>
    </cfRule>
  </conditionalFormatting>
  <conditionalFormatting sqref="C21">
    <cfRule type="expression" dxfId="72" priority="1">
      <formula>$C$21&lt;=1</formula>
    </cfRule>
    <cfRule type="expression" dxfId="71" priority="2">
      <formula>$C$21&gt;1</formula>
    </cfRule>
  </conditionalFormatting>
  <dataValidations count="2">
    <dataValidation type="decimal" allowBlank="1" showInputMessage="1" showErrorMessage="1" errorTitle="Chybný vstup" error="min: 0,0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https://www.klimasken.cz/cs/download/metodicky_list-POP8.pdf"/>
    <hyperlink ref="A16" location="'M-POP4'!A1" display="'M-POP4'!A1"/>
    <hyperlink ref="A17" location="'M-POP5'!A1" display="'M-POP5'!A1"/>
    <hyperlink ref="A18" location="'M-POP6'!A1" display="'M-POP6'!A1"/>
    <hyperlink ref="A19" location="'M-POP7'!A1" display="'M-POP7'!A1"/>
    <hyperlink ref="A20" location="'M-POP8'!A1" display="'M-POP8'!A1"/>
    <hyperlink ref="A15" location="'M-POP2'!B4" display="'M-POP2'!B4"/>
    <hyperlink ref="A9" location="'M-POP2'!B4" display="'M-POP2'!B4"/>
  </hyperlinks>
  <pageMargins left="0.7" right="0.7" top="0.78740157499999996" bottom="0.78740157499999996"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showGridLines="0" workbookViewId="0">
      <selection activeCell="B9" sqref="B9"/>
    </sheetView>
  </sheetViews>
  <sheetFormatPr defaultRowHeight="15" x14ac:dyDescent="0.25"/>
  <cols>
    <col min="1" max="1" width="85.85546875" style="1" bestFit="1" customWidth="1"/>
    <col min="2" max="2" width="18.85546875" customWidth="1"/>
    <col min="3" max="3" width="17.85546875" customWidth="1"/>
    <col min="4" max="4" width="13.28515625" customWidth="1"/>
    <col min="5" max="5" width="9.140625" customWidth="1"/>
    <col min="6" max="6" width="18.5703125" hidden="1" customWidth="1"/>
  </cols>
  <sheetData>
    <row r="1" spans="1:4" ht="21" x14ac:dyDescent="0.25">
      <c r="A1" s="122" t="str">
        <f>CONCATENATE("M-POP9 – ",VLOOKUP(15,Lang!$A$6:$K$1006,Lang!$M$1+1,FALSE))</f>
        <v xml:space="preserve">M-POP9 – Chráněné území </v>
      </c>
      <c r="B1" s="122"/>
    </row>
    <row r="2" spans="1:4" ht="28.5" customHeight="1" x14ac:dyDescent="0.25">
      <c r="A2" s="88" t="str">
        <f>VLOOKUP(130,Lang!$A$6:$K$1006,Lang!$M$1+1,FALSE)</f>
        <v>Metodický list indikátoru</v>
      </c>
    </row>
    <row r="4" spans="1:4" x14ac:dyDescent="0.25">
      <c r="A4" s="6" t="str">
        <f>VLOOKUP(119,Lang!$A$6:$K$1006,Lang!$M$1+1,FALSE)</f>
        <v>Podíl chráněného území</v>
      </c>
      <c r="B4" s="128"/>
    </row>
    <row r="6" spans="1:4" x14ac:dyDescent="0.25">
      <c r="A6" s="13" t="str">
        <f>VLOOKUP(400,Lang!$A$6:$K$1006,Lang!$M$1+1,FALSE)</f>
        <v>Pomůcka - pomocný výpočet</v>
      </c>
    </row>
    <row r="7" spans="1:4" s="48" customFormat="1" x14ac:dyDescent="0.25">
      <c r="A7" s="47" t="str">
        <f>VLOOKUP(120,Lang!$A$6:$K$1006,Lang!$M$1+1,FALSE)</f>
        <v>Do žlutého pole zadejte plochu chráněného území v ha, podíl v % se dopočte</v>
      </c>
    </row>
    <row r="8" spans="1:4" x14ac:dyDescent="0.25">
      <c r="A8" s="1" t="str">
        <f>VLOOKUP(121,Lang!$A$6:$K$1006,Lang!$M$1+1,FALSE)</f>
        <v>Plocha chráněného území v ha</v>
      </c>
      <c r="B8" s="127"/>
    </row>
    <row r="9" spans="1:4" ht="15.75" thickBot="1" x14ac:dyDescent="0.3">
      <c r="A9" s="95" t="str">
        <f>IF('M-POP2'!B4="",VLOOKUP(91,Lang!$A$6:$K$1006,Lang!$M$1+1,FALSE),VLOOKUP(92,Lang!$A$6:$K$1006,Lang!$M$1+1,FALSE))</f>
        <v>Zadejte nejprve hodnotu M-POP2</v>
      </c>
      <c r="B9" t="str">
        <f>IF('M-POP2'!B4="","N/A",'M-POP2'!B4)</f>
        <v>N/A</v>
      </c>
    </row>
    <row r="10" spans="1:4" ht="15.75" thickBot="1" x14ac:dyDescent="0.3">
      <c r="A10" s="30" t="str">
        <f>IF('M-POP2'!B4="",VLOOKUP(93,Lang!$A$6:$K$1006,Lang!$M$1+1,FALSE),VLOOKUP(94,Lang!$A$6:$K$1006,Lang!$M$1+1,FALSE))</f>
        <v>Výpočet nemůže proběhnout</v>
      </c>
      <c r="B10" s="16" t="str">
        <f>IF('M-POP2'!B4="","N/A",+B8/B9)</f>
        <v>N/A</v>
      </c>
    </row>
    <row r="15" spans="1:4" x14ac:dyDescent="0.25">
      <c r="D15" s="2"/>
    </row>
  </sheetData>
  <sheetProtection sheet="1" objects="1" scenarios="1"/>
  <mergeCells count="1">
    <mergeCell ref="A1:B1"/>
  </mergeCells>
  <dataValidations disablePrompts="1" count="2">
    <dataValidation type="decimal" allowBlank="1" showInputMessage="1" showErrorMessage="1" errorTitle="Chybný vstup" error="min: 0,0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https://www.klimasken.cz/cs/download/metodicky_list-POP9.pdf"/>
    <hyperlink ref="A9" location="'M-POP2'!B4" display="'M-POP2'!B4"/>
  </hyperlinks>
  <pageMargins left="0.7" right="0.7" top="0.78740157499999996" bottom="0.78740157499999996"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8"/>
  <sheetViews>
    <sheetView showGridLines="0" workbookViewId="0">
      <selection activeCell="B8" sqref="B8"/>
    </sheetView>
  </sheetViews>
  <sheetFormatPr defaultRowHeight="15" x14ac:dyDescent="0.25"/>
  <cols>
    <col min="1" max="1" width="93.42578125" style="1" customWidth="1"/>
    <col min="2" max="2" width="38" bestFit="1" customWidth="1"/>
    <col min="3" max="3" width="29.85546875" bestFit="1" customWidth="1"/>
    <col min="4" max="4" width="13.28515625" customWidth="1"/>
  </cols>
  <sheetData>
    <row r="1" spans="1:3" ht="21" x14ac:dyDescent="0.25">
      <c r="A1" s="122" t="str">
        <f>CONCATENATE("M-POP10 – ",VLOOKUP(16,Lang!$A$6:$K$1006,Lang!$M$1+1,FALSE))</f>
        <v xml:space="preserve">M-POP10 – Obyvatelé v bytových domech </v>
      </c>
      <c r="B1" s="122"/>
    </row>
    <row r="2" spans="1:3" ht="28.5" customHeight="1" x14ac:dyDescent="0.25">
      <c r="A2" s="88" t="str">
        <f>VLOOKUP(130,Lang!$A$6:$K$1006,Lang!$M$1+1,FALSE)</f>
        <v>Metodický list indikátoru</v>
      </c>
    </row>
    <row r="4" spans="1:3" x14ac:dyDescent="0.25">
      <c r="A4" s="6" t="str">
        <f>VLOOKUP(205,Lang!$A$6:$K$1006,Lang!$M$1+1,FALSE)</f>
        <v>Podíl obyvatel v bytových domech</v>
      </c>
      <c r="B4" s="129"/>
    </row>
    <row r="6" spans="1:3" x14ac:dyDescent="0.25">
      <c r="A6" s="13" t="str">
        <f>VLOOKUP(400,Lang!$A$6:$K$1006,Lang!$M$1+1,FALSE)</f>
        <v>Pomůcka - pomocný výpočet</v>
      </c>
    </row>
    <row r="7" spans="1:3" s="48" customFormat="1" x14ac:dyDescent="0.25">
      <c r="A7" s="47" t="str">
        <f>VLOOKUP(214,Lang!$A$6:$K$1006,Lang!$M$1+1,FALSE)</f>
        <v>Do žlutého pole zadejte počet obyvatel v bytových domech, podíl v % se dopočte</v>
      </c>
    </row>
    <row r="8" spans="1:3" x14ac:dyDescent="0.25">
      <c r="A8" s="1" t="str">
        <f>VLOOKUP(213,Lang!$A$6:$K$1006,Lang!$M$1+1,FALSE)</f>
        <v>Zadejte počet obyvatel v bytových domech</v>
      </c>
      <c r="B8" s="127"/>
    </row>
    <row r="9" spans="1:3" ht="15" customHeight="1" thickBot="1" x14ac:dyDescent="0.3">
      <c r="A9" s="94" t="str">
        <f>IF('M-POP1'!B4="",VLOOKUP(124,Lang!$A$6:$K$1006,Lang!$M$1+1,FALSE),VLOOKUP(125,Lang!$A$6:$K$1006,Lang!$M$1+1,FALSE))</f>
        <v>Zadejte nejprve hodnotu M-POP1</v>
      </c>
      <c r="B9" t="str">
        <f>IF('M-POP1'!B4="","N/A",'M-POP1'!B4)</f>
        <v>N/A</v>
      </c>
    </row>
    <row r="10" spans="1:3" ht="15" customHeight="1" thickBot="1" x14ac:dyDescent="0.3">
      <c r="A10" s="30" t="str">
        <f>IF('M-POP1'!B4="",VLOOKUP(93,Lang!$A$6:$K$1006,Lang!$M$1+1,FALSE),VLOOKUP(94,Lang!$A$6:$K$1006,Lang!$M$1+1,FALSE))</f>
        <v>Výpočet nemůže proběhnout</v>
      </c>
      <c r="B10" s="16" t="str">
        <f>IF('M-POP1'!B4="","N/A",+B8/B9)</f>
        <v>N/A</v>
      </c>
    </row>
    <row r="11" spans="1:3" ht="15" customHeight="1" x14ac:dyDescent="0.25"/>
    <row r="12" spans="1:3" x14ac:dyDescent="0.25">
      <c r="A12" s="123" t="str">
        <f>VLOOKUP(206,Lang!$A$6:$K$1006,Lang!$M$1+1,FALSE)</f>
        <v>V tabulce níže můžete průběžně kontrolovat, zda zadané počty obyvatel v jednotlivých typech obydlí nepřekračují celkový počet obyvatel</v>
      </c>
      <c r="B12" s="123"/>
      <c r="C12" s="49"/>
    </row>
    <row r="13" spans="1:3" ht="15" customHeight="1" x14ac:dyDescent="0.25"/>
    <row r="14" spans="1:3" x14ac:dyDescent="0.25">
      <c r="A14" s="8" t="str">
        <f>VLOOKUP(207,Lang!$A$6:$K$1006,Lang!$M$1+1,FALSE)</f>
        <v>Průběžná kontrola skladby obyvatel</v>
      </c>
      <c r="B14" s="9" t="str">
        <f>VLOOKUP(97,Lang!$A$6:$K$1006,Lang!$M$1+1,FALSE)</f>
        <v>Pomocné výpočty</v>
      </c>
      <c r="C14" s="9" t="str">
        <f>VLOOKUP(98,Lang!$A$6:$K$1006,Lang!$M$1+1,FALSE)</f>
        <v>Zadaná hodnota</v>
      </c>
    </row>
    <row r="15" spans="1:3" x14ac:dyDescent="0.25">
      <c r="A15" s="91" t="str">
        <f>IF('M-POP1'!B4="",VLOOKUP(124,Lang!$A$6:$K$1006,Lang!$M$1+1,FALSE),VLOOKUP(212,Lang!$A$6:$K$1006,Lang!$M$1+1,FALSE))</f>
        <v>Zadejte nejprve hodnotu M-POP1</v>
      </c>
      <c r="B15" s="3" t="str">
        <f>IF('M-POP1'!B4="","N/A",B9)</f>
        <v>N/A</v>
      </c>
      <c r="C15" s="7" t="s">
        <v>0</v>
      </c>
    </row>
    <row r="16" spans="1:3" x14ac:dyDescent="0.25">
      <c r="A16" s="6" t="str">
        <f>VLOOKUP(209,Lang!$A$6:$K$1006,Lang!$M$1+1,FALSE)</f>
        <v>Obyvatelé v bytových domech (M-POP10)</v>
      </c>
      <c r="B16" s="4">
        <f>+'M-POP10'!B8</f>
        <v>0</v>
      </c>
      <c r="C16" s="4">
        <f>+'M-POP10'!B4</f>
        <v>0</v>
      </c>
    </row>
    <row r="17" spans="1:3" x14ac:dyDescent="0.25">
      <c r="A17" s="91" t="str">
        <f>VLOOKUP(210,Lang!$A$6:$K$1006,Lang!$M$1+1,FALSE)</f>
        <v>Obyvatelé v rodinných domech (M-POP11)</v>
      </c>
      <c r="B17" s="4">
        <f>+'M-POP11'!B8</f>
        <v>0</v>
      </c>
      <c r="C17" s="4">
        <f>+'M-POP11'!B4</f>
        <v>0</v>
      </c>
    </row>
    <row r="18" spans="1:3" x14ac:dyDescent="0.25">
      <c r="A18" s="8" t="str">
        <f>VLOOKUP(211,Lang!$A$6:$K$1006,Lang!$M$1+1,FALSE)</f>
        <v>Celkem zadáno z dat výše</v>
      </c>
      <c r="B18" s="17">
        <f>SUM(B16:B17)</f>
        <v>0</v>
      </c>
      <c r="C18" s="17">
        <f>SUM(C16:C17)</f>
        <v>0</v>
      </c>
    </row>
  </sheetData>
  <sheetProtection sheet="1" objects="1" scenarios="1"/>
  <mergeCells count="2">
    <mergeCell ref="A12:B12"/>
    <mergeCell ref="A1:B1"/>
  </mergeCells>
  <conditionalFormatting sqref="B18">
    <cfRule type="expression" dxfId="70" priority="3">
      <formula>$B$18&gt;$B$15</formula>
    </cfRule>
    <cfRule type="expression" dxfId="69" priority="4">
      <formula>$B$18&lt;=$B$15</formula>
    </cfRule>
  </conditionalFormatting>
  <conditionalFormatting sqref="C18">
    <cfRule type="expression" dxfId="68" priority="1">
      <formula>$C$18&lt;=1</formula>
    </cfRule>
    <cfRule type="expression" dxfId="67" priority="2">
      <formula>$C$18&gt;1</formula>
    </cfRule>
  </conditionalFormatting>
  <dataValidations count="2">
    <dataValidation type="decimal" allowBlank="1" showInputMessage="1" showErrorMessage="1" errorTitle="Chybný vstup" error="Interval: min 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Metodický list indikátoru"/>
    <hyperlink ref="A15" location="'M-POP1'!B4" display="'M-POP1'!B4"/>
    <hyperlink ref="A17" location="'M-POP11'!B4" display="'M-POP11'!B4"/>
    <hyperlink ref="A9" location="'M-POP1'!B4" display="'M-POP1'!B4"/>
  </hyperlinks>
  <pageMargins left="0.7" right="0.7" top="0.78740157499999996" bottom="0.78740157499999996"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8"/>
  <sheetViews>
    <sheetView showGridLines="0" workbookViewId="0">
      <selection activeCell="C26" sqref="C26"/>
    </sheetView>
  </sheetViews>
  <sheetFormatPr defaultRowHeight="15" x14ac:dyDescent="0.25"/>
  <cols>
    <col min="1" max="1" width="95.85546875" style="1" customWidth="1"/>
    <col min="2" max="2" width="38" bestFit="1" customWidth="1"/>
    <col min="3" max="3" width="29.85546875" bestFit="1" customWidth="1"/>
    <col min="4" max="4" width="13.28515625" customWidth="1"/>
    <col min="5" max="5" width="18.5703125" hidden="1" customWidth="1"/>
  </cols>
  <sheetData>
    <row r="1" spans="1:3" ht="21" x14ac:dyDescent="0.25">
      <c r="A1" s="122" t="str">
        <f>CONCATENATE("M-POP11 – ",VLOOKUP(17,Lang!$A$6:$K$1006,Lang!$M$1+1,FALSE))</f>
        <v xml:space="preserve">M-POP11 – Obyvatelé v rodinných domech </v>
      </c>
      <c r="B1" s="122"/>
    </row>
    <row r="2" spans="1:3" ht="28.5" customHeight="1" x14ac:dyDescent="0.25">
      <c r="A2" s="88" t="str">
        <f>VLOOKUP(130,Lang!$A$6:$K$1006,Lang!$M$1+1,FALSE)</f>
        <v>Metodický list indikátoru</v>
      </c>
    </row>
    <row r="4" spans="1:3" x14ac:dyDescent="0.25">
      <c r="A4" s="6" t="str">
        <f>VLOOKUP(215,Lang!$A$6:$K$1006,Lang!$M$1+1,FALSE)</f>
        <v>Podíl obyvatel v rodinných domech</v>
      </c>
      <c r="B4" s="128"/>
    </row>
    <row r="6" spans="1:3" x14ac:dyDescent="0.25">
      <c r="A6" s="13" t="str">
        <f>VLOOKUP(400,Lang!$A$6:$K$1006,Lang!$M$1+1,FALSE)</f>
        <v>Pomůcka - pomocný výpočet</v>
      </c>
    </row>
    <row r="7" spans="1:3" s="49" customFormat="1" ht="22.5" customHeight="1" x14ac:dyDescent="0.25">
      <c r="A7" s="47" t="str">
        <f>VLOOKUP(217,Lang!$A$6:$K$1006,Lang!$M$1+1,FALSE)</f>
        <v>Do žlutého pole zadejte počet obyvatel v rodinných domech, podíl v % se dopočte</v>
      </c>
    </row>
    <row r="8" spans="1:3" x14ac:dyDescent="0.25">
      <c r="A8" s="1" t="str">
        <f>VLOOKUP(216,Lang!$A$6:$K$1006,Lang!$M$1+1,FALSE)</f>
        <v>Zadejte počet obyvatel v rodinných domech</v>
      </c>
      <c r="B8" s="127"/>
    </row>
    <row r="9" spans="1:3" ht="15" customHeight="1" thickBot="1" x14ac:dyDescent="0.3">
      <c r="A9" s="94" t="str">
        <f>IF('M-POP1'!B4="",VLOOKUP(124,Lang!$A$6:$K$1006,Lang!$M$1+1,FALSE),VLOOKUP(125,Lang!$A$6:$K$1006,Lang!$M$1+1,FALSE))</f>
        <v>Zadejte nejprve hodnotu M-POP1</v>
      </c>
      <c r="B9" t="str">
        <f>IF('M-POP1'!B4="","N/A",'M-POP1'!B4)</f>
        <v>N/A</v>
      </c>
    </row>
    <row r="10" spans="1:3" ht="15.75" thickBot="1" x14ac:dyDescent="0.3">
      <c r="A10" s="30" t="str">
        <f>IF('M-POP1'!B4="",VLOOKUP(93,Lang!$A$6:$K$1006,Lang!$M$1+1,FALSE),VLOOKUP(94,Lang!$A$6:$K$1006,Lang!$M$1+1,FALSE))</f>
        <v>Výpočet nemůže proběhnout</v>
      </c>
      <c r="B10" s="16" t="str">
        <f>IF('M-POP1'!B4="","N/A",+B8/B9)</f>
        <v>N/A</v>
      </c>
    </row>
    <row r="12" spans="1:3" ht="21" customHeight="1" x14ac:dyDescent="0.25">
      <c r="A12" s="123" t="str">
        <f>VLOOKUP(206,Lang!$A$6:$K$1006,Lang!$M$1+1,FALSE)</f>
        <v>V tabulce níže můžete průběžně kontrolovat, zda zadané počty obyvatel v jednotlivých typech obydlí nepřekračují celkový počet obyvatel</v>
      </c>
      <c r="B12" s="123"/>
      <c r="C12" s="123"/>
    </row>
    <row r="14" spans="1:3" x14ac:dyDescent="0.25">
      <c r="A14" s="8" t="str">
        <f>VLOOKUP(207,Lang!$A$6:$K$1006,Lang!$M$1+1,FALSE)</f>
        <v>Průběžná kontrola skladby obyvatel</v>
      </c>
      <c r="B14" s="9" t="str">
        <f>VLOOKUP(97,Lang!$A$6:$K$1006,Lang!$M$1+1,FALSE)</f>
        <v>Pomocné výpočty</v>
      </c>
      <c r="C14" s="9" t="str">
        <f>VLOOKUP(98,Lang!$A$6:$K$1006,Lang!$M$1+1,FALSE)</f>
        <v>Zadaná hodnota</v>
      </c>
    </row>
    <row r="15" spans="1:3" x14ac:dyDescent="0.25">
      <c r="A15" s="91" t="str">
        <f>IF('M-POP1'!B4="",VLOOKUP(124,Lang!$A$6:$K$1006,Lang!$M$1+1,FALSE),VLOOKUP(212,Lang!$A$6:$K$1006,Lang!$M$1+1,FALSE))</f>
        <v>Zadejte nejprve hodnotu M-POP1</v>
      </c>
      <c r="B15" s="3" t="str">
        <f>IF('M-POP1'!B4="","N/A",B9)</f>
        <v>N/A</v>
      </c>
      <c r="C15" s="7" t="s">
        <v>0</v>
      </c>
    </row>
    <row r="16" spans="1:3" x14ac:dyDescent="0.25">
      <c r="A16" s="91" t="str">
        <f>VLOOKUP(209,Lang!$A$6:$K$1006,Lang!$M$1+1,FALSE)</f>
        <v>Obyvatelé v bytových domech (M-POP10)</v>
      </c>
      <c r="B16" s="4">
        <f>+'M-POP10'!B8</f>
        <v>0</v>
      </c>
      <c r="C16" s="4">
        <f>+'M-POP10'!B4</f>
        <v>0</v>
      </c>
    </row>
    <row r="17" spans="1:3" x14ac:dyDescent="0.25">
      <c r="A17" t="str">
        <f>VLOOKUP(210,Lang!$A$6:$K$1006,Lang!$M$1+1,FALSE)</f>
        <v>Obyvatelé v rodinných domech (M-POP11)</v>
      </c>
      <c r="B17" s="4">
        <f>+'M-POP11'!B8</f>
        <v>0</v>
      </c>
      <c r="C17" s="4">
        <f>+'M-POP11'!B4</f>
        <v>0</v>
      </c>
    </row>
    <row r="18" spans="1:3" x14ac:dyDescent="0.25">
      <c r="A18" s="8" t="str">
        <f>VLOOKUP(211,Lang!$A$6:$K$1006,Lang!$M$1+1,FALSE)</f>
        <v>Celkem zadáno z dat výše</v>
      </c>
      <c r="B18" s="17">
        <f>SUM(B16:B17)</f>
        <v>0</v>
      </c>
      <c r="C18" s="17">
        <f>SUM(C16:C17)</f>
        <v>0</v>
      </c>
    </row>
  </sheetData>
  <sheetProtection sheet="1" objects="1" scenarios="1"/>
  <mergeCells count="2">
    <mergeCell ref="A12:C12"/>
    <mergeCell ref="A1:B1"/>
  </mergeCells>
  <conditionalFormatting sqref="B18">
    <cfRule type="expression" dxfId="66" priority="3">
      <formula>$B$18&gt;$B$15</formula>
    </cfRule>
    <cfRule type="expression" dxfId="65" priority="4">
      <formula>$B$18&lt;=$B$15</formula>
    </cfRule>
  </conditionalFormatting>
  <conditionalFormatting sqref="C18">
    <cfRule type="expression" dxfId="64" priority="1">
      <formula>$C$18&lt;=1</formula>
    </cfRule>
    <cfRule type="expression" dxfId="63" priority="2">
      <formula>$C$18&gt;1</formula>
    </cfRule>
  </conditionalFormatting>
  <dataValidations count="2">
    <dataValidation type="decimal" allowBlank="1" showInputMessage="1" showErrorMessage="1" errorTitle="Chybný vstup" error="Vstupní hodnorta nesmí být větší než celkový počet obyvatel města (indikátor POP1)"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Metodický list indikátoru"/>
    <hyperlink ref="A15" location="'M-POP1'!B4" display="'M-POP1'!B4"/>
    <hyperlink ref="A16" location="'M-POP10'!B4" display="'M-POP10'!B4"/>
    <hyperlink ref="A9" location="'M-POP1'!B4" display="'M-POP1'!B4"/>
  </hyperlinks>
  <pageMargins left="0.7" right="0.7" top="0.78740157499999996" bottom="0.78740157499999996"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showGridLines="0" workbookViewId="0">
      <selection activeCell="B4" sqref="B4"/>
    </sheetView>
  </sheetViews>
  <sheetFormatPr defaultRowHeight="15" x14ac:dyDescent="0.25"/>
  <cols>
    <col min="1" max="1" width="90.7109375" style="1" customWidth="1"/>
    <col min="2" max="2" width="18.85546875" customWidth="1"/>
    <col min="3" max="3" width="17.85546875" customWidth="1"/>
    <col min="4" max="4" width="13.28515625" customWidth="1"/>
    <col min="5" max="5" width="9.140625" customWidth="1"/>
    <col min="6" max="6" width="18.5703125" hidden="1" customWidth="1"/>
  </cols>
  <sheetData>
    <row r="1" spans="1:2" ht="21" x14ac:dyDescent="0.25">
      <c r="A1" s="122" t="str">
        <f>CONCATENATE("M-POP12 – ",VLOOKUP(18,Lang!$A$6:$K$1006,Lang!$M$1+1,FALSE))</f>
        <v xml:space="preserve">M-POP12 – Připojení na veřejný vodovod </v>
      </c>
      <c r="B1" s="122"/>
    </row>
    <row r="2" spans="1:2" ht="28.5" customHeight="1" x14ac:dyDescent="0.25">
      <c r="A2" s="88" t="str">
        <f>VLOOKUP(130,Lang!$A$6:$K$1006,Lang!$M$1+1,FALSE)</f>
        <v>Metodický list indikátoru</v>
      </c>
    </row>
    <row r="4" spans="1:2" x14ac:dyDescent="0.25">
      <c r="A4" s="6" t="str">
        <f>VLOOKUP(218,Lang!$A$6:$K$1006,Lang!$M$1+1,FALSE)</f>
        <v>Podíl obyvatel připojených na veřejný vodovod</v>
      </c>
      <c r="B4" s="128"/>
    </row>
    <row r="6" spans="1:2" x14ac:dyDescent="0.25">
      <c r="A6" s="13" t="str">
        <f>VLOOKUP(400,Lang!$A$6:$K$1006,Lang!$M$1+1,FALSE)</f>
        <v>Pomůcka - pomocný výpočet</v>
      </c>
    </row>
    <row r="7" spans="1:2" s="49" customFormat="1" ht="17.25" customHeight="1" x14ac:dyDescent="0.25">
      <c r="A7" s="47" t="str">
        <f>VLOOKUP(219,Lang!$A$6:$K$1006,Lang!$M$1+1,FALSE)</f>
        <v>Do žlutého pole zadejte počet obyvatel připojených na vodovod, podíl v % se dopočte</v>
      </c>
    </row>
    <row r="8" spans="1:2" x14ac:dyDescent="0.25">
      <c r="A8" s="1" t="str">
        <f>VLOOKUP(362,Lang!$A$6:$K$1006,Lang!$M$1+1,FALSE)</f>
        <v>Počet obyvatel připojených na veřejný vodovod</v>
      </c>
      <c r="B8" s="127"/>
    </row>
    <row r="9" spans="1:2" ht="15" customHeight="1" thickBot="1" x14ac:dyDescent="0.3">
      <c r="A9" s="94" t="str">
        <f>IF('M-POP1'!B4="",VLOOKUP(124,Lang!$A$6:$K$1006,Lang!$M$1+1,FALSE),VLOOKUP(125,Lang!$A$6:$K$1006,Lang!$M$1+1,FALSE))</f>
        <v>Zadejte nejprve hodnotu M-POP1</v>
      </c>
      <c r="B9" t="str">
        <f>IF('M-POP1'!B4="","N/A",'M-POP1'!B4)</f>
        <v>N/A</v>
      </c>
    </row>
    <row r="10" spans="1:2" ht="15" customHeight="1" thickBot="1" x14ac:dyDescent="0.3">
      <c r="A10" s="30" t="str">
        <f>IF('M-POP1'!B4="",VLOOKUP(93,Lang!$A$6:$K$1006,Lang!$M$1+1,FALSE),VLOOKUP(94,Lang!$A$6:$K$1006,Lang!$M$1+1,FALSE))</f>
        <v>Výpočet nemůže proběhnout</v>
      </c>
      <c r="B10" s="16" t="str">
        <f>IF('M-POP1'!B4="","N/A",+B8/B9)</f>
        <v>N/A</v>
      </c>
    </row>
  </sheetData>
  <sheetProtection sheet="1" objects="1" scenarios="1"/>
  <mergeCells count="1">
    <mergeCell ref="A1:B1"/>
  </mergeCells>
  <dataValidations count="2">
    <dataValidation type="decimal" allowBlank="1" showInputMessage="1" showErrorMessage="1" errorTitle="Chybná hodnota" error="Povolenou hodnotou jsou % v intervalu 0,00 % - 100 %" sqref="B4">
      <formula1>0</formula1>
      <formula2>1</formula2>
    </dataValidation>
    <dataValidation type="decimal" allowBlank="1" showInputMessage="1" showErrorMessage="1" errorTitle="Chybný vstup" error="Interval: min. 0; max B9" sqref="B8">
      <formula1>0</formula1>
      <formula2>B9</formula2>
    </dataValidation>
  </dataValidations>
  <hyperlinks>
    <hyperlink ref="A2" r:id="rId1" tooltip="stáhnout metodický list indikátoru" display="Metodický list indikátoru"/>
    <hyperlink ref="A9" location="'M-POP1'!B4" display="'M-POP1'!B4"/>
  </hyperlinks>
  <pageMargins left="0.7" right="0.7" top="0.78740157499999996" bottom="0.78740157499999996"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showGridLines="0" workbookViewId="0">
      <selection activeCell="B25" sqref="B25"/>
    </sheetView>
  </sheetViews>
  <sheetFormatPr defaultRowHeight="15" x14ac:dyDescent="0.25"/>
  <cols>
    <col min="1" max="1" width="88.140625" style="1" customWidth="1"/>
    <col min="2" max="2" width="18.85546875" customWidth="1"/>
    <col min="3" max="3" width="17.85546875" customWidth="1"/>
    <col min="4" max="4" width="13.28515625" customWidth="1"/>
    <col min="5" max="5" width="9.140625" customWidth="1"/>
    <col min="6" max="6" width="18.5703125" hidden="1" customWidth="1"/>
  </cols>
  <sheetData>
    <row r="1" spans="1:2" ht="21" x14ac:dyDescent="0.25">
      <c r="A1" s="122" t="str">
        <f>CONCATENATE("M-POP13 – ",VLOOKUP(19,Lang!$A$6:$K$1006,Lang!$M$1+1,FALSE))</f>
        <v xml:space="preserve">M-POP13 – Připojení na veřejnou kanalizaci </v>
      </c>
      <c r="B1" s="122"/>
    </row>
    <row r="2" spans="1:2" ht="28.5" customHeight="1" x14ac:dyDescent="0.25">
      <c r="A2" s="88" t="str">
        <f>VLOOKUP(130,Lang!$A$6:$K$1006,Lang!$M$1+1,FALSE)</f>
        <v>Metodický list indikátoru</v>
      </c>
    </row>
    <row r="4" spans="1:2" x14ac:dyDescent="0.25">
      <c r="A4" s="6" t="str">
        <f>VLOOKUP(220,Lang!$A$6:$K$1006,Lang!$M$1+1,FALSE)</f>
        <v>Podíl obyvatel připojených na veřejnou kanalizaci</v>
      </c>
      <c r="B4" s="130"/>
    </row>
    <row r="6" spans="1:2" x14ac:dyDescent="0.25">
      <c r="A6" s="13" t="str">
        <f>VLOOKUP(400,Lang!$A$6:$K$1006,Lang!$M$1+1,FALSE)</f>
        <v>Pomůcka - pomocný výpočet</v>
      </c>
    </row>
    <row r="7" spans="1:2" s="49" customFormat="1" ht="17.25" customHeight="1" x14ac:dyDescent="0.25">
      <c r="A7" s="47" t="str">
        <f>VLOOKUP(221,Lang!$A$6:$K$1006,Lang!$M$1+1,FALSE)</f>
        <v>Do žlutého pole zadejte počet obyvatel připojených na kanalizaci, podíl v % se dopočte</v>
      </c>
    </row>
    <row r="8" spans="1:2" x14ac:dyDescent="0.25">
      <c r="A8" s="1" t="str">
        <f>VLOOKUP(222,Lang!$A$6:$K$1006,Lang!$M$1+1,FALSE)</f>
        <v>Počet obyvatel připojených na veřejnou kanalizaci</v>
      </c>
      <c r="B8" s="131"/>
    </row>
    <row r="9" spans="1:2" ht="15" customHeight="1" thickBot="1" x14ac:dyDescent="0.3">
      <c r="A9" s="94" t="str">
        <f>IF('M-POP1'!B4="",VLOOKUP(124,Lang!$A$6:$K$1006,Lang!$M$1+1,FALSE),VLOOKUP(125,Lang!$A$6:$K$1006,Lang!$M$1+1,FALSE))</f>
        <v>Zadejte nejprve hodnotu M-POP1</v>
      </c>
      <c r="B9" t="str">
        <f>IF('M-POP1'!B4="","N/A",'M-POP1'!B4)</f>
        <v>N/A</v>
      </c>
    </row>
    <row r="10" spans="1:2" ht="15.75" thickBot="1" x14ac:dyDescent="0.3">
      <c r="A10" s="30" t="str">
        <f>IF('M-POP1'!B4="",VLOOKUP(93,Lang!$A$6:$K$1006,Lang!$M$1+1,FALSE),VLOOKUP(94,Lang!$A$6:$K$1006,Lang!$M$1+1,FALSE))</f>
        <v>Výpočet nemůže proběhnout</v>
      </c>
      <c r="B10" s="16" t="str">
        <f>IF('M-POP2'!B4="","N/A",+B8/B9)</f>
        <v>N/A</v>
      </c>
    </row>
  </sheetData>
  <sheetProtection sheet="1" objects="1" scenarios="1"/>
  <mergeCells count="1">
    <mergeCell ref="A1:B1"/>
  </mergeCells>
  <dataValidations count="2">
    <dataValidation type="decimal" allowBlank="1" showInputMessage="1" showErrorMessage="1" errorTitle="Chybný vstup" error="Vstupní hodnorta nesmí být větší než celkový počet obyvatel města (indikátor POP1)"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Metodický list indikátoru"/>
    <hyperlink ref="A9" location="'M-POP1'!B4" display="'M-POP1'!B4"/>
  </hyperlinks>
  <pageMargins left="0.7" right="0.7" top="0.78740157499999996" bottom="0.78740157499999996"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
  <sheetViews>
    <sheetView showGridLines="0" workbookViewId="0">
      <selection activeCell="B9" sqref="B9"/>
    </sheetView>
  </sheetViews>
  <sheetFormatPr defaultRowHeight="15" x14ac:dyDescent="0.25"/>
  <cols>
    <col min="1" max="1" width="110.28515625" style="1" bestFit="1" customWidth="1"/>
    <col min="2" max="2" width="18.85546875" customWidth="1"/>
    <col min="3" max="3" width="17.85546875" customWidth="1"/>
    <col min="4" max="4" width="13.28515625" customWidth="1"/>
    <col min="5" max="6" width="9.140625" customWidth="1"/>
    <col min="7" max="7" width="18.5703125" hidden="1" customWidth="1"/>
  </cols>
  <sheetData>
    <row r="1" spans="1:3" ht="21" x14ac:dyDescent="0.25">
      <c r="A1" s="122" t="str">
        <f>CONCATENATE("M-POP14 – ",VLOOKUP(20,Lang!$A$6:$K$1006,Lang!$M$1+1,FALSE))</f>
        <v xml:space="preserve">M-POP14 – Výdaje města na obyvatele </v>
      </c>
      <c r="B1" s="122"/>
    </row>
    <row r="2" spans="1:3" ht="28.5" customHeight="1" x14ac:dyDescent="0.25">
      <c r="A2" s="88" t="str">
        <f>VLOOKUP(130,Lang!$A$6:$K$1006,Lang!$M$1+1,FALSE)</f>
        <v>Metodický list indikátoru</v>
      </c>
    </row>
    <row r="4" spans="1:3" x14ac:dyDescent="0.25">
      <c r="A4" s="6" t="str">
        <f>VLOOKUP(122,Lang!$A$6:$K$1006,Lang!$M$1+1,FALSE)</f>
        <v>Celkové výdaje města na obyvatele</v>
      </c>
      <c r="B4" s="132"/>
      <c r="C4" s="92" t="s">
        <v>849</v>
      </c>
    </row>
    <row r="6" spans="1:3" x14ac:dyDescent="0.25">
      <c r="A6" s="13" t="str">
        <f>VLOOKUP(400,Lang!$A$6:$K$1006,Lang!$M$1+1,FALSE)</f>
        <v>Pomůcka - pomocný výpočet</v>
      </c>
    </row>
    <row r="7" spans="1:3" s="49" customFormat="1" x14ac:dyDescent="0.25">
      <c r="A7" s="47" t="str">
        <f>VLOOKUP(128,Lang!$A$6:$K$1006,Lang!$M$1+1,FALSE)</f>
        <v>Do žlutého pole zadejte celkové rozpočtové výdaje města (v €)</v>
      </c>
      <c r="C7" s="2"/>
    </row>
    <row r="8" spans="1:3" x14ac:dyDescent="0.25">
      <c r="A8" s="1" t="str">
        <f>VLOOKUP(123,Lang!$A$6:$K$1006,Lang!$M$1+1,FALSE)</f>
        <v>Celkové výdaje města</v>
      </c>
      <c r="B8" s="133"/>
      <c r="C8" s="2"/>
    </row>
    <row r="9" spans="1:3" ht="15.75" thickBot="1" x14ac:dyDescent="0.3">
      <c r="A9" s="94" t="str">
        <f>IF('M-POP1'!B4="",VLOOKUP(124,Lang!$A$6:$K$1006,Lang!$M$1+1,FALSE),VLOOKUP(125,Lang!$A$6:$K$1006,Lang!$M$1+1,FALSE))</f>
        <v>Zadejte nejprve hodnotu M-POP1</v>
      </c>
      <c r="B9" t="str">
        <f>IF('M-POP1'!B4="","N/A",'M-POP1'!B4)</f>
        <v>N/A</v>
      </c>
    </row>
    <row r="10" spans="1:3" ht="15.75" thickBot="1" x14ac:dyDescent="0.3">
      <c r="A10" s="15" t="str">
        <f>IF('M-POP1'!B4="",VLOOKUP(126,Lang!$A$6:$K$1006,Lang!$M$1+1,FALSE),VLOOKUP(127,Lang!$A$6:$K$1006,Lang!$M$1+1,FALSE))</f>
        <v>Výpočet nemůže proběhnout</v>
      </c>
      <c r="B10" s="31" t="str">
        <f>IF('M-POP1'!B4="","N/A",+B8/B9)</f>
        <v>N/A</v>
      </c>
    </row>
  </sheetData>
  <sheetProtection sheet="1" objects="1" scenarios="1"/>
  <mergeCells count="1">
    <mergeCell ref="A1:B1"/>
  </mergeCells>
  <dataValidations disablePrompts="1" count="2">
    <dataValidation type="decimal" allowBlank="1" showInputMessage="1" showErrorMessage="1" errorTitle="Chybná hodnota" error="Povolenou hodnotou je kladné číslo" sqref="B4">
      <formula1>0.00001</formula1>
      <formula2>9999999999999990</formula2>
    </dataValidation>
    <dataValidation type="decimal" allowBlank="1" showInputMessage="1" showErrorMessage="1" errorTitle="Chybný vstup" error="Vstupní hodnota je nenulové číslo" sqref="B8">
      <formula1>0.01</formula1>
      <formula2>999999999999999000</formula2>
    </dataValidation>
  </dataValidations>
  <hyperlinks>
    <hyperlink ref="A2" r:id="rId1" tooltip="stáhnout metodický list indikátoru" display="Metodický list indikátoru"/>
    <hyperlink ref="A9" location="'M-POP1'!B4" display="'M-POP1'!B4"/>
  </hyperlinks>
  <pageMargins left="0.7" right="0.7" top="0.78740157499999996" bottom="0.78740157499999996"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4"/>
  <sheetViews>
    <sheetView showGridLines="0" workbookViewId="0">
      <selection activeCell="B4" sqref="B4"/>
    </sheetView>
  </sheetViews>
  <sheetFormatPr defaultRowHeight="15" x14ac:dyDescent="0.25"/>
  <cols>
    <col min="1" max="1" width="128.85546875" style="1" customWidth="1"/>
    <col min="2" max="2" width="18.85546875" customWidth="1"/>
    <col min="3" max="3" width="17.85546875" customWidth="1"/>
    <col min="4" max="4" width="13.28515625" customWidth="1"/>
    <col min="5" max="6" width="9.140625" customWidth="1"/>
    <col min="7" max="7" width="18.5703125" hidden="1" customWidth="1"/>
  </cols>
  <sheetData>
    <row r="1" spans="1:2" ht="24" customHeight="1" x14ac:dyDescent="0.25">
      <c r="A1" s="122" t="str">
        <f>CONCATENATE("M-EXP1 – ",VLOOKUP(21,Lang!$A$6:$K$1006,Lang!$M$1+1,FALSE))</f>
        <v xml:space="preserve">M-EXP1 – Rozdíl průměrné roční teploty vzduchu ve sledovaném roce oproti dlouhodobému průměru                                                                       </v>
      </c>
      <c r="B1" s="122"/>
    </row>
    <row r="2" spans="1:2" ht="28.5" customHeight="1" x14ac:dyDescent="0.25">
      <c r="A2" s="88" t="str">
        <f>VLOOKUP(130,Lang!$A$6:$K$1006,Lang!$M$1+1,FALSE)</f>
        <v>Metodický list indikátoru</v>
      </c>
    </row>
    <row r="4" spans="1:2" x14ac:dyDescent="0.25">
      <c r="A4" s="50" t="str">
        <f>VLOOKUP(129,Lang!$A$6:$K$1006,Lang!$M$1+1,FALSE)</f>
        <v>Rozdíl teplot (°C)</v>
      </c>
      <c r="B4" s="134"/>
    </row>
  </sheetData>
  <sheetProtection sheet="1" objects="1" scenarios="1"/>
  <mergeCells count="1">
    <mergeCell ref="A1:B1"/>
  </mergeCells>
  <dataValidations count="1">
    <dataValidation type="decimal" allowBlank="1" showInputMessage="1" showErrorMessage="1" errorTitle="Chybný vstup" error="Přípustnou hodnotou je desetinné číslo v intervalu -100 - + 100" sqref="B4">
      <formula1>-100</formula1>
      <formula2>100</formula2>
    </dataValidation>
  </dataValidations>
  <hyperlinks>
    <hyperlink ref="A2" r:id="rId1" tooltip="stáhnout metodický list indikátoru" display="https://www.klimasken.cz/cs/download/metodicky_list-EXP1.pdf"/>
  </hyperlinks>
  <pageMargins left="0.7" right="0.7" top="0.78740157499999996" bottom="0.78740157499999996" header="0.3" footer="0.3"/>
  <pageSetup paperSize="9" orientation="portrait" horizontalDpi="300" verticalDpi="30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4"/>
  <sheetViews>
    <sheetView showGridLines="0" workbookViewId="0">
      <selection activeCell="B4" sqref="B4"/>
    </sheetView>
  </sheetViews>
  <sheetFormatPr defaultRowHeight="15" x14ac:dyDescent="0.25"/>
  <cols>
    <col min="1" max="1" width="110.85546875" style="1" customWidth="1"/>
    <col min="2" max="2" width="18.85546875" customWidth="1"/>
    <col min="3" max="3" width="17.85546875" customWidth="1"/>
    <col min="4" max="4" width="13.28515625" customWidth="1"/>
    <col min="5" max="5" width="18.5703125" hidden="1" customWidth="1"/>
  </cols>
  <sheetData>
    <row r="1" spans="1:2" ht="65.099999999999994" customHeight="1" x14ac:dyDescent="0.25">
      <c r="A1" s="122" t="str">
        <f>CONCATENATE("M-EXP2 – ",VLOOKUP(22,Lang!$A$6:$K$1006,Lang!$M$1+1,FALSE))</f>
        <v xml:space="preserve">M-EXP2 – Rozdíl počtu tropických dní ve sledovaném roce oproti dlouhodobému průměru                                                                       </v>
      </c>
      <c r="B1" s="122"/>
    </row>
    <row r="2" spans="1:2" ht="28.5" customHeight="1" x14ac:dyDescent="0.25">
      <c r="A2" s="88" t="str">
        <f>VLOOKUP(130,Lang!$A$6:$K$1006,Lang!$M$1+1,FALSE)</f>
        <v>Metodický list indikátoru</v>
      </c>
    </row>
    <row r="4" spans="1:2" x14ac:dyDescent="0.25">
      <c r="A4" s="6" t="str">
        <f>VLOOKUP(129,Lang!$A$6:$K$1006,Lang!$M$1+1,FALSE)</f>
        <v>Rozdíl teplot (°C)</v>
      </c>
      <c r="B4" s="152"/>
    </row>
  </sheetData>
  <sheetProtection sheet="1" objects="1" scenarios="1"/>
  <mergeCells count="1">
    <mergeCell ref="A1:B1"/>
  </mergeCells>
  <dataValidations count="1">
    <dataValidation type="decimal" allowBlank="1" showInputMessage="1" showErrorMessage="1" errorTitle="Chybný vstup" error="Přípustnou hodnotou je celé číslo v intervalu - 366; +366" sqref="B4">
      <formula1>-366</formula1>
      <formula2>366</formula2>
    </dataValidation>
  </dataValidations>
  <hyperlinks>
    <hyperlink ref="A2" r:id="rId1" tooltip="stáhnout metodický list indikátoru" display="Metodický list indikátoru"/>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8"/>
  <sheetViews>
    <sheetView topLeftCell="A362" zoomScale="150" zoomScaleNormal="150" workbookViewId="0">
      <selection activeCell="B367" sqref="B367"/>
    </sheetView>
  </sheetViews>
  <sheetFormatPr defaultRowHeight="15" x14ac:dyDescent="0.25"/>
  <cols>
    <col min="2" max="2" width="80.42578125" style="1" customWidth="1"/>
    <col min="3" max="8" width="9.140625" style="1"/>
    <col min="9" max="9" width="11.85546875" style="1" bestFit="1" customWidth="1"/>
    <col min="10" max="13" width="9.140625" style="1"/>
    <col min="17" max="17" width="11.85546875" bestFit="1" customWidth="1"/>
  </cols>
  <sheetData>
    <row r="1" spans="1:15" x14ac:dyDescent="0.25">
      <c r="L1" s="73" t="s">
        <v>56</v>
      </c>
      <c r="M1" s="73">
        <f>VLOOKUP(Souhrn!E1,Lang!L2:M11,2,FALSE)</f>
        <v>1</v>
      </c>
    </row>
    <row r="2" spans="1:15" x14ac:dyDescent="0.25">
      <c r="L2" s="1" t="s">
        <v>53</v>
      </c>
      <c r="M2" s="1">
        <v>1</v>
      </c>
    </row>
    <row r="3" spans="1:15" x14ac:dyDescent="0.25">
      <c r="L3" s="1" t="s">
        <v>54</v>
      </c>
      <c r="M3" s="1">
        <v>2</v>
      </c>
    </row>
    <row r="4" spans="1:15" x14ac:dyDescent="0.25">
      <c r="L4" s="1" t="s">
        <v>55</v>
      </c>
      <c r="M4" s="1">
        <v>3</v>
      </c>
    </row>
    <row r="5" spans="1:15" x14ac:dyDescent="0.25">
      <c r="L5" s="1" t="s">
        <v>42</v>
      </c>
      <c r="M5" s="1">
        <v>4</v>
      </c>
    </row>
    <row r="6" spans="1:15" x14ac:dyDescent="0.25">
      <c r="A6" t="s">
        <v>38</v>
      </c>
      <c r="B6" s="1" t="s">
        <v>39</v>
      </c>
      <c r="C6" s="1" t="s">
        <v>40</v>
      </c>
      <c r="D6" s="1" t="s">
        <v>41</v>
      </c>
      <c r="E6" s="1" t="s">
        <v>42</v>
      </c>
      <c r="F6" s="1" t="s">
        <v>43</v>
      </c>
      <c r="G6" s="1" t="s">
        <v>44</v>
      </c>
      <c r="H6" s="1" t="s">
        <v>45</v>
      </c>
      <c r="I6" s="1" t="s">
        <v>46</v>
      </c>
      <c r="J6" s="1" t="s">
        <v>47</v>
      </c>
      <c r="K6" s="1" t="s">
        <v>48</v>
      </c>
      <c r="L6" s="1" t="s">
        <v>43</v>
      </c>
      <c r="M6" s="1">
        <v>5</v>
      </c>
    </row>
    <row r="7" spans="1:15" x14ac:dyDescent="0.25">
      <c r="A7">
        <v>1</v>
      </c>
      <c r="B7" s="1" t="s">
        <v>50</v>
      </c>
      <c r="C7" s="1" t="s">
        <v>51</v>
      </c>
      <c r="D7" s="1" t="s">
        <v>49</v>
      </c>
      <c r="L7" s="1" t="s">
        <v>44</v>
      </c>
      <c r="M7" s="1">
        <v>6</v>
      </c>
    </row>
    <row r="8" spans="1:15" x14ac:dyDescent="0.25">
      <c r="A8">
        <v>2</v>
      </c>
      <c r="B8" s="1" t="s">
        <v>57</v>
      </c>
      <c r="C8" s="1" t="s">
        <v>58</v>
      </c>
      <c r="D8" s="1" t="s">
        <v>59</v>
      </c>
      <c r="L8" s="1" t="s">
        <v>45</v>
      </c>
      <c r="M8" s="1">
        <v>7</v>
      </c>
    </row>
    <row r="9" spans="1:15" x14ac:dyDescent="0.25">
      <c r="A9">
        <v>3</v>
      </c>
      <c r="B9" s="1" t="s">
        <v>315</v>
      </c>
      <c r="C9" s="1" t="s">
        <v>316</v>
      </c>
      <c r="D9" s="1" t="s">
        <v>317</v>
      </c>
      <c r="L9" s="1" t="s">
        <v>46</v>
      </c>
      <c r="M9" s="1">
        <v>8</v>
      </c>
    </row>
    <row r="10" spans="1:15" x14ac:dyDescent="0.25">
      <c r="A10">
        <v>4</v>
      </c>
      <c r="B10" s="1" t="s">
        <v>1082</v>
      </c>
      <c r="C10" s="1" t="s">
        <v>1083</v>
      </c>
      <c r="D10" s="1" t="s">
        <v>60</v>
      </c>
      <c r="L10" s="1" t="s">
        <v>47</v>
      </c>
      <c r="M10" s="1">
        <v>9</v>
      </c>
    </row>
    <row r="11" spans="1:15" x14ac:dyDescent="0.25">
      <c r="A11">
        <v>5</v>
      </c>
      <c r="B11" s="1" t="s">
        <v>62</v>
      </c>
      <c r="C11" s="1" t="s">
        <v>62</v>
      </c>
      <c r="D11" s="1" t="s">
        <v>61</v>
      </c>
      <c r="L11" s="1" t="s">
        <v>48</v>
      </c>
      <c r="M11" s="1">
        <v>10</v>
      </c>
    </row>
    <row r="12" spans="1:15" x14ac:dyDescent="0.25">
      <c r="A12">
        <v>6</v>
      </c>
      <c r="B12" s="1" t="s">
        <v>63</v>
      </c>
      <c r="C12" s="1" t="s">
        <v>63</v>
      </c>
      <c r="D12" s="1" t="s">
        <v>64</v>
      </c>
    </row>
    <row r="13" spans="1:15" x14ac:dyDescent="0.25">
      <c r="A13">
        <v>7</v>
      </c>
      <c r="B13" s="1" t="s">
        <v>65</v>
      </c>
      <c r="C13" s="1" t="s">
        <v>112</v>
      </c>
      <c r="D13" s="1" t="s">
        <v>113</v>
      </c>
      <c r="O13" s="70"/>
    </row>
    <row r="14" spans="1:15" x14ac:dyDescent="0.25">
      <c r="A14">
        <v>8</v>
      </c>
      <c r="B14" s="1" t="s">
        <v>66</v>
      </c>
      <c r="C14" s="1" t="s">
        <v>114</v>
      </c>
      <c r="D14" s="1" t="s">
        <v>115</v>
      </c>
      <c r="O14" s="70"/>
    </row>
    <row r="15" spans="1:15" x14ac:dyDescent="0.25">
      <c r="A15">
        <v>9</v>
      </c>
      <c r="B15" s="1" t="s">
        <v>67</v>
      </c>
      <c r="C15" s="1" t="s">
        <v>116</v>
      </c>
      <c r="D15" s="1" t="s">
        <v>117</v>
      </c>
      <c r="O15" s="70"/>
    </row>
    <row r="16" spans="1:15" x14ac:dyDescent="0.25">
      <c r="A16">
        <v>10</v>
      </c>
      <c r="B16" s="1" t="s">
        <v>68</v>
      </c>
      <c r="C16" s="1" t="s">
        <v>118</v>
      </c>
      <c r="D16" s="1" t="s">
        <v>119</v>
      </c>
      <c r="O16" s="70"/>
    </row>
    <row r="17" spans="1:15" x14ac:dyDescent="0.25">
      <c r="A17">
        <v>11</v>
      </c>
      <c r="B17" s="1" t="s">
        <v>69</v>
      </c>
      <c r="C17" s="1" t="s">
        <v>120</v>
      </c>
      <c r="D17" s="1" t="s">
        <v>121</v>
      </c>
      <c r="O17" s="70"/>
    </row>
    <row r="18" spans="1:15" x14ac:dyDescent="0.25">
      <c r="A18">
        <v>12</v>
      </c>
      <c r="B18" s="1" t="s">
        <v>70</v>
      </c>
      <c r="C18" s="1" t="s">
        <v>122</v>
      </c>
      <c r="D18" s="1" t="s">
        <v>123</v>
      </c>
      <c r="O18" s="70"/>
    </row>
    <row r="19" spans="1:15" x14ac:dyDescent="0.25">
      <c r="A19">
        <v>13</v>
      </c>
      <c r="B19" s="1" t="s">
        <v>71</v>
      </c>
      <c r="C19" s="1" t="s">
        <v>124</v>
      </c>
      <c r="D19" s="1" t="s">
        <v>125</v>
      </c>
      <c r="O19" s="70"/>
    </row>
    <row r="20" spans="1:15" x14ac:dyDescent="0.25">
      <c r="A20">
        <v>14</v>
      </c>
      <c r="B20" s="1" t="s">
        <v>72</v>
      </c>
      <c r="C20" s="1" t="s">
        <v>126</v>
      </c>
      <c r="D20" s="1" t="s">
        <v>127</v>
      </c>
      <c r="O20" s="70"/>
    </row>
    <row r="21" spans="1:15" x14ac:dyDescent="0.25">
      <c r="A21">
        <v>15</v>
      </c>
      <c r="B21" s="1" t="s">
        <v>73</v>
      </c>
      <c r="C21" s="1" t="s">
        <v>128</v>
      </c>
      <c r="D21" s="1" t="s">
        <v>129</v>
      </c>
      <c r="O21" s="70"/>
    </row>
    <row r="22" spans="1:15" x14ac:dyDescent="0.25">
      <c r="A22">
        <v>16</v>
      </c>
      <c r="B22" s="1" t="s">
        <v>74</v>
      </c>
      <c r="C22" s="1" t="s">
        <v>130</v>
      </c>
      <c r="D22" s="1" t="s">
        <v>131</v>
      </c>
      <c r="O22" s="70"/>
    </row>
    <row r="23" spans="1:15" x14ac:dyDescent="0.25">
      <c r="A23">
        <v>17</v>
      </c>
      <c r="B23" s="1" t="s">
        <v>75</v>
      </c>
      <c r="C23" s="1" t="s">
        <v>132</v>
      </c>
      <c r="D23" s="1" t="s">
        <v>133</v>
      </c>
      <c r="O23" s="70"/>
    </row>
    <row r="24" spans="1:15" x14ac:dyDescent="0.25">
      <c r="A24">
        <v>18</v>
      </c>
      <c r="B24" s="1" t="s">
        <v>76</v>
      </c>
      <c r="C24" s="1" t="s">
        <v>134</v>
      </c>
      <c r="D24" s="1" t="s">
        <v>135</v>
      </c>
      <c r="O24" s="70"/>
    </row>
    <row r="25" spans="1:15" x14ac:dyDescent="0.25">
      <c r="A25">
        <v>19</v>
      </c>
      <c r="B25" s="1" t="s">
        <v>77</v>
      </c>
      <c r="C25" s="1" t="s">
        <v>136</v>
      </c>
      <c r="D25" s="1" t="s">
        <v>137</v>
      </c>
      <c r="O25" s="70"/>
    </row>
    <row r="26" spans="1:15" x14ac:dyDescent="0.25">
      <c r="A26">
        <v>20</v>
      </c>
      <c r="B26" s="1" t="s">
        <v>78</v>
      </c>
      <c r="C26" s="1" t="s">
        <v>138</v>
      </c>
      <c r="D26" s="1" t="s">
        <v>139</v>
      </c>
      <c r="O26" s="71"/>
    </row>
    <row r="27" spans="1:15" x14ac:dyDescent="0.25">
      <c r="A27">
        <v>21</v>
      </c>
      <c r="B27" s="74" t="s">
        <v>83</v>
      </c>
      <c r="C27" s="1" t="s">
        <v>84</v>
      </c>
      <c r="D27" s="1" t="s">
        <v>82</v>
      </c>
    </row>
    <row r="28" spans="1:15" x14ac:dyDescent="0.25">
      <c r="A28">
        <v>22</v>
      </c>
      <c r="B28" s="70" t="s">
        <v>86</v>
      </c>
      <c r="C28" s="1" t="s">
        <v>87</v>
      </c>
      <c r="D28" s="1" t="s">
        <v>85</v>
      </c>
    </row>
    <row r="29" spans="1:15" x14ac:dyDescent="0.25">
      <c r="A29">
        <v>23</v>
      </c>
      <c r="B29" s="70" t="s">
        <v>89</v>
      </c>
      <c r="C29" s="1" t="s">
        <v>90</v>
      </c>
      <c r="D29" s="1" t="s">
        <v>88</v>
      </c>
    </row>
    <row r="30" spans="1:15" x14ac:dyDescent="0.25">
      <c r="A30">
        <v>24</v>
      </c>
      <c r="B30" s="70" t="s">
        <v>110</v>
      </c>
      <c r="C30" s="76" t="s">
        <v>111</v>
      </c>
      <c r="D30" s="1" t="s">
        <v>109</v>
      </c>
    </row>
    <row r="31" spans="1:15" x14ac:dyDescent="0.25">
      <c r="A31">
        <v>25</v>
      </c>
      <c r="B31" s="70" t="s">
        <v>147</v>
      </c>
      <c r="C31" s="76" t="s">
        <v>148</v>
      </c>
      <c r="D31" s="1" t="s">
        <v>146</v>
      </c>
    </row>
    <row r="32" spans="1:15" x14ac:dyDescent="0.25">
      <c r="A32">
        <v>26</v>
      </c>
      <c r="B32" s="75" t="s">
        <v>150</v>
      </c>
      <c r="C32" s="76" t="s">
        <v>151</v>
      </c>
      <c r="D32" s="1" t="s">
        <v>149</v>
      </c>
    </row>
    <row r="33" spans="1:17" x14ac:dyDescent="0.25">
      <c r="A33">
        <v>27</v>
      </c>
      <c r="B33" s="70" t="s">
        <v>823</v>
      </c>
      <c r="C33" s="76" t="s">
        <v>824</v>
      </c>
      <c r="D33" s="1" t="s">
        <v>825</v>
      </c>
    </row>
    <row r="34" spans="1:17" x14ac:dyDescent="0.25">
      <c r="A34">
        <v>28</v>
      </c>
      <c r="B34" s="70" t="s">
        <v>154</v>
      </c>
      <c r="C34" s="76" t="s">
        <v>153</v>
      </c>
      <c r="D34" s="1" t="s">
        <v>152</v>
      </c>
    </row>
    <row r="35" spans="1:17" x14ac:dyDescent="0.25">
      <c r="A35">
        <v>29</v>
      </c>
      <c r="B35" s="70" t="s">
        <v>157</v>
      </c>
      <c r="C35" s="76" t="s">
        <v>156</v>
      </c>
      <c r="D35" s="1" t="s">
        <v>155</v>
      </c>
    </row>
    <row r="36" spans="1:17" x14ac:dyDescent="0.25">
      <c r="A36">
        <v>30</v>
      </c>
      <c r="B36" s="70" t="s">
        <v>160</v>
      </c>
      <c r="C36" s="76" t="s">
        <v>159</v>
      </c>
      <c r="D36" s="1" t="s">
        <v>158</v>
      </c>
    </row>
    <row r="37" spans="1:17" x14ac:dyDescent="0.25">
      <c r="A37" s="11">
        <v>31</v>
      </c>
      <c r="B37" s="77" t="s">
        <v>163</v>
      </c>
      <c r="C37" s="78" t="s">
        <v>162</v>
      </c>
      <c r="D37" s="78" t="s">
        <v>161</v>
      </c>
      <c r="E37" s="78"/>
      <c r="F37" s="78"/>
      <c r="G37" s="78"/>
    </row>
    <row r="38" spans="1:17" x14ac:dyDescent="0.25">
      <c r="A38">
        <v>32</v>
      </c>
      <c r="B38" s="1" t="s">
        <v>302</v>
      </c>
      <c r="C38" s="1" t="s">
        <v>207</v>
      </c>
      <c r="D38" s="1" t="s">
        <v>208</v>
      </c>
      <c r="I38" s="1">
        <f>FIND("   ",L38)</f>
        <v>53</v>
      </c>
      <c r="L38" s="72" t="s">
        <v>24</v>
      </c>
      <c r="N38" s="1"/>
      <c r="O38" s="1"/>
      <c r="P38" s="1"/>
      <c r="Q38" s="1"/>
    </row>
    <row r="39" spans="1:17" x14ac:dyDescent="0.25">
      <c r="A39">
        <v>33</v>
      </c>
      <c r="B39" s="1" t="s">
        <v>303</v>
      </c>
      <c r="C39" s="1" t="s">
        <v>209</v>
      </c>
      <c r="D39" s="1" t="s">
        <v>210</v>
      </c>
      <c r="I39" s="1">
        <f t="shared" ref="I39:I73" si="0">FIND("   ",L39)</f>
        <v>41</v>
      </c>
      <c r="L39" s="72" t="s">
        <v>3</v>
      </c>
      <c r="N39" s="1"/>
      <c r="O39" s="1"/>
      <c r="P39" s="1"/>
      <c r="Q39" s="1"/>
    </row>
    <row r="40" spans="1:17" x14ac:dyDescent="0.25">
      <c r="A40">
        <v>34</v>
      </c>
      <c r="B40" s="1" t="s">
        <v>304</v>
      </c>
      <c r="C40" s="1" t="s">
        <v>211</v>
      </c>
      <c r="D40" s="1" t="s">
        <v>212</v>
      </c>
      <c r="I40" s="1">
        <f t="shared" si="0"/>
        <v>40</v>
      </c>
      <c r="L40" s="72" t="s">
        <v>4</v>
      </c>
      <c r="N40" s="1"/>
      <c r="O40" s="1"/>
      <c r="P40" s="1"/>
      <c r="Q40" s="1"/>
    </row>
    <row r="41" spans="1:17" x14ac:dyDescent="0.25">
      <c r="A41">
        <v>35</v>
      </c>
      <c r="B41" s="1" t="s">
        <v>305</v>
      </c>
      <c r="C41" s="1" t="s">
        <v>853</v>
      </c>
      <c r="D41" s="1" t="s">
        <v>213</v>
      </c>
      <c r="I41" s="1">
        <f t="shared" si="0"/>
        <v>88</v>
      </c>
      <c r="L41" s="72" t="s">
        <v>18</v>
      </c>
      <c r="N41" s="1"/>
      <c r="O41" s="1"/>
      <c r="P41" s="1"/>
      <c r="Q41" s="1"/>
    </row>
    <row r="42" spans="1:17" x14ac:dyDescent="0.25">
      <c r="A42">
        <v>36</v>
      </c>
      <c r="B42" s="1" t="s">
        <v>306</v>
      </c>
      <c r="C42" s="1" t="s">
        <v>214</v>
      </c>
      <c r="D42" s="1" t="s">
        <v>215</v>
      </c>
      <c r="I42" s="1">
        <f t="shared" si="0"/>
        <v>118</v>
      </c>
      <c r="L42" s="72" t="s">
        <v>5</v>
      </c>
      <c r="N42" s="1"/>
      <c r="O42" s="1"/>
      <c r="P42" s="1"/>
      <c r="Q42" s="1"/>
    </row>
    <row r="43" spans="1:17" ht="18" x14ac:dyDescent="0.25">
      <c r="A43">
        <v>37</v>
      </c>
      <c r="B43" s="1" t="s">
        <v>826</v>
      </c>
      <c r="C43" s="1" t="s">
        <v>827</v>
      </c>
      <c r="D43" s="1" t="s">
        <v>828</v>
      </c>
      <c r="I43" s="1">
        <f t="shared" si="0"/>
        <v>76</v>
      </c>
      <c r="L43" s="70" t="s">
        <v>33</v>
      </c>
      <c r="N43" s="1"/>
      <c r="O43" s="1"/>
      <c r="P43" s="1"/>
      <c r="Q43" s="1"/>
    </row>
    <row r="44" spans="1:17" x14ac:dyDescent="0.25">
      <c r="A44">
        <v>38</v>
      </c>
      <c r="B44" s="1" t="s">
        <v>307</v>
      </c>
      <c r="C44" s="1" t="s">
        <v>216</v>
      </c>
      <c r="D44" s="1" t="s">
        <v>217</v>
      </c>
      <c r="I44" s="1">
        <f t="shared" si="0"/>
        <v>49</v>
      </c>
      <c r="L44" s="70" t="s">
        <v>6</v>
      </c>
      <c r="N44" s="1"/>
      <c r="O44" s="1"/>
      <c r="P44" s="1"/>
      <c r="Q44" s="1"/>
    </row>
    <row r="45" spans="1:17" x14ac:dyDescent="0.25">
      <c r="A45">
        <v>39</v>
      </c>
      <c r="B45" s="1" t="s">
        <v>308</v>
      </c>
      <c r="C45" s="1" t="s">
        <v>219</v>
      </c>
      <c r="D45" s="1" t="s">
        <v>218</v>
      </c>
      <c r="I45" s="1">
        <f t="shared" si="0"/>
        <v>107</v>
      </c>
      <c r="L45" s="72" t="s">
        <v>35</v>
      </c>
      <c r="N45" s="1"/>
      <c r="O45" s="1"/>
      <c r="P45" s="1"/>
      <c r="Q45" s="1"/>
    </row>
    <row r="46" spans="1:17" ht="18" x14ac:dyDescent="0.25">
      <c r="A46">
        <v>40</v>
      </c>
      <c r="B46" s="1" t="s">
        <v>829</v>
      </c>
      <c r="C46" s="1" t="s">
        <v>830</v>
      </c>
      <c r="I46" s="1">
        <f t="shared" si="0"/>
        <v>116</v>
      </c>
      <c r="L46" s="72" t="s">
        <v>36</v>
      </c>
      <c r="N46" s="1"/>
      <c r="O46" s="1"/>
      <c r="P46" s="1"/>
      <c r="Q46" s="1"/>
    </row>
    <row r="47" spans="1:17" x14ac:dyDescent="0.25">
      <c r="A47">
        <v>41</v>
      </c>
      <c r="B47" s="1" t="s">
        <v>309</v>
      </c>
      <c r="C47" s="1" t="s">
        <v>220</v>
      </c>
      <c r="D47" s="1" t="s">
        <v>221</v>
      </c>
      <c r="I47" s="1">
        <f t="shared" si="0"/>
        <v>69</v>
      </c>
      <c r="L47" s="72" t="s">
        <v>7</v>
      </c>
      <c r="N47" s="1"/>
      <c r="O47" s="1"/>
      <c r="P47" s="1"/>
      <c r="Q47" s="1"/>
    </row>
    <row r="48" spans="1:17" x14ac:dyDescent="0.25">
      <c r="A48">
        <v>42</v>
      </c>
      <c r="B48" s="1" t="s">
        <v>310</v>
      </c>
      <c r="C48" s="1" t="s">
        <v>222</v>
      </c>
      <c r="D48" s="1" t="s">
        <v>223</v>
      </c>
      <c r="I48" s="1">
        <f t="shared" si="0"/>
        <v>67</v>
      </c>
      <c r="L48" s="72" t="s">
        <v>25</v>
      </c>
      <c r="N48" s="1"/>
      <c r="O48" s="1"/>
      <c r="P48" s="1"/>
      <c r="Q48" s="1"/>
    </row>
    <row r="49" spans="1:17" x14ac:dyDescent="0.25">
      <c r="A49">
        <v>43</v>
      </c>
      <c r="B49" s="1" t="s">
        <v>311</v>
      </c>
      <c r="C49" s="1" t="s">
        <v>224</v>
      </c>
      <c r="D49" s="1" t="s">
        <v>225</v>
      </c>
      <c r="I49" s="1">
        <f t="shared" si="0"/>
        <v>122</v>
      </c>
      <c r="L49" s="72" t="s">
        <v>8</v>
      </c>
      <c r="N49" s="1"/>
      <c r="O49" s="1"/>
      <c r="P49" s="1"/>
      <c r="Q49" s="1"/>
    </row>
    <row r="50" spans="1:17" x14ac:dyDescent="0.25">
      <c r="A50">
        <v>44</v>
      </c>
      <c r="B50" s="1" t="s">
        <v>312</v>
      </c>
      <c r="C50" s="1" t="s">
        <v>226</v>
      </c>
      <c r="D50" s="1" t="s">
        <v>227</v>
      </c>
      <c r="I50" s="1">
        <f t="shared" si="0"/>
        <v>41</v>
      </c>
      <c r="L50" s="72" t="s">
        <v>9</v>
      </c>
      <c r="N50" s="1"/>
      <c r="O50" s="1"/>
      <c r="P50" s="1"/>
      <c r="Q50" s="1"/>
    </row>
    <row r="51" spans="1:17" x14ac:dyDescent="0.25">
      <c r="A51">
        <v>45</v>
      </c>
      <c r="B51" s="1" t="s">
        <v>313</v>
      </c>
      <c r="C51" s="1" t="s">
        <v>228</v>
      </c>
      <c r="D51" s="1" t="s">
        <v>229</v>
      </c>
      <c r="I51" s="1">
        <f t="shared" si="0"/>
        <v>54</v>
      </c>
      <c r="L51" s="72" t="s">
        <v>10</v>
      </c>
      <c r="N51" s="1"/>
      <c r="O51" s="1"/>
      <c r="P51" s="1"/>
      <c r="Q51" s="1"/>
    </row>
    <row r="52" spans="1:17" x14ac:dyDescent="0.25">
      <c r="A52">
        <v>46</v>
      </c>
      <c r="B52" s="1" t="s">
        <v>314</v>
      </c>
      <c r="C52" s="1" t="s">
        <v>230</v>
      </c>
      <c r="D52" s="1" t="s">
        <v>231</v>
      </c>
      <c r="I52" s="1">
        <f t="shared" si="0"/>
        <v>40</v>
      </c>
      <c r="L52" s="72" t="s">
        <v>11</v>
      </c>
      <c r="N52" s="1"/>
      <c r="O52" s="1"/>
      <c r="P52" s="1"/>
      <c r="Q52" s="1"/>
    </row>
    <row r="53" spans="1:17" s="11" customFormat="1" x14ac:dyDescent="0.25">
      <c r="A53" s="11">
        <v>47</v>
      </c>
      <c r="B53" s="78" t="s">
        <v>79</v>
      </c>
      <c r="C53" s="78" t="s">
        <v>140</v>
      </c>
      <c r="D53" s="78" t="s">
        <v>141</v>
      </c>
      <c r="E53" s="78"/>
      <c r="F53" s="78"/>
      <c r="G53" s="78"/>
      <c r="H53" s="78"/>
      <c r="I53" s="78"/>
      <c r="J53" s="78"/>
      <c r="K53" s="78"/>
      <c r="L53" s="78"/>
      <c r="M53" s="78"/>
      <c r="P53" s="78"/>
      <c r="Q53" s="78"/>
    </row>
    <row r="54" spans="1:17" s="11" customFormat="1" x14ac:dyDescent="0.25">
      <c r="A54" s="11">
        <v>48</v>
      </c>
      <c r="B54" s="78" t="s">
        <v>80</v>
      </c>
      <c r="C54" s="78" t="s">
        <v>142</v>
      </c>
      <c r="D54" s="78" t="s">
        <v>143</v>
      </c>
      <c r="E54" s="78"/>
      <c r="F54" s="78"/>
      <c r="G54" s="78"/>
      <c r="H54" s="78"/>
      <c r="I54" s="78"/>
      <c r="J54" s="78"/>
      <c r="K54" s="78"/>
      <c r="L54" s="78"/>
      <c r="M54" s="78"/>
      <c r="P54" s="78"/>
      <c r="Q54" s="78"/>
    </row>
    <row r="55" spans="1:17" s="11" customFormat="1" x14ac:dyDescent="0.25">
      <c r="A55" s="11">
        <v>49</v>
      </c>
      <c r="B55" s="78" t="s">
        <v>81</v>
      </c>
      <c r="C55" s="78" t="s">
        <v>144</v>
      </c>
      <c r="D55" s="78" t="s">
        <v>145</v>
      </c>
      <c r="E55" s="78"/>
      <c r="F55" s="78"/>
      <c r="G55" s="78"/>
      <c r="H55" s="78"/>
      <c r="I55" s="78"/>
      <c r="J55" s="78"/>
      <c r="K55" s="78"/>
      <c r="L55" s="78"/>
      <c r="M55" s="78"/>
      <c r="P55" s="78"/>
      <c r="Q55" s="78"/>
    </row>
    <row r="56" spans="1:17" x14ac:dyDescent="0.25">
      <c r="A56">
        <v>50</v>
      </c>
      <c r="B56" s="1" t="str">
        <f t="shared" ref="B56:B73" si="1">TRIM(LEFT(L56,I56))</f>
        <v>Dopravní výkon v individuální automobilové dopravě</v>
      </c>
      <c r="C56" s="1" t="s">
        <v>205</v>
      </c>
      <c r="D56" s="1" t="s">
        <v>206</v>
      </c>
      <c r="I56" s="1">
        <f t="shared" si="0"/>
        <v>51</v>
      </c>
      <c r="L56" s="72" t="s">
        <v>12</v>
      </c>
      <c r="N56" s="1"/>
      <c r="O56" s="1"/>
      <c r="P56" s="1"/>
      <c r="Q56" s="1"/>
    </row>
    <row r="57" spans="1:17" x14ac:dyDescent="0.25">
      <c r="A57">
        <v>51</v>
      </c>
      <c r="B57" s="1" t="str">
        <f t="shared" si="1"/>
        <v>Spotřeba uhlí (hnědé, černé) v rámci administrativního území obce/čtvrti</v>
      </c>
      <c r="C57" s="1" t="s">
        <v>203</v>
      </c>
      <c r="D57" s="1" t="s">
        <v>204</v>
      </c>
      <c r="I57" s="1">
        <f t="shared" si="0"/>
        <v>73</v>
      </c>
      <c r="L57" s="72" t="s">
        <v>26</v>
      </c>
      <c r="N57" s="1"/>
      <c r="O57" s="1"/>
      <c r="P57" s="1"/>
      <c r="Q57" s="1"/>
    </row>
    <row r="58" spans="1:17" x14ac:dyDescent="0.25">
      <c r="A58">
        <v>52</v>
      </c>
      <c r="B58" s="1" t="str">
        <f t="shared" si="1"/>
        <v>Spotřeba dalších fosilních paliv (propan-butan, topný olej, další) v rámci administrativního území města/městské části/obce</v>
      </c>
      <c r="C58" s="1" t="s">
        <v>201</v>
      </c>
      <c r="D58" s="1" t="s">
        <v>202</v>
      </c>
      <c r="I58" s="1">
        <f t="shared" si="0"/>
        <v>124</v>
      </c>
      <c r="L58" s="72" t="s">
        <v>13</v>
      </c>
      <c r="N58" s="1"/>
      <c r="O58" s="1"/>
      <c r="P58" s="1"/>
      <c r="Q58" s="1"/>
    </row>
    <row r="59" spans="1:17" x14ac:dyDescent="0.25">
      <c r="A59">
        <v>53</v>
      </c>
      <c r="B59" s="1" t="str">
        <f t="shared" si="1"/>
        <v>Dopravní výkon v kolejové dopravě</v>
      </c>
      <c r="C59" s="1" t="s">
        <v>199</v>
      </c>
      <c r="D59" s="1" t="s">
        <v>200</v>
      </c>
      <c r="I59" s="1">
        <f t="shared" si="0"/>
        <v>34</v>
      </c>
      <c r="L59" s="72" t="s">
        <v>14</v>
      </c>
      <c r="N59" s="1"/>
      <c r="O59" s="1"/>
      <c r="P59" s="1"/>
      <c r="Q59" s="1"/>
    </row>
    <row r="60" spans="1:17" x14ac:dyDescent="0.25">
      <c r="A60">
        <v>54</v>
      </c>
      <c r="B60" s="1" t="str">
        <f t="shared" si="1"/>
        <v>Dopravní výkon v osobní, autobusové a trolejbusové dopravě</v>
      </c>
      <c r="C60" s="1" t="s">
        <v>197</v>
      </c>
      <c r="D60" s="1" t="s">
        <v>198</v>
      </c>
      <c r="I60" s="1">
        <f t="shared" si="0"/>
        <v>59</v>
      </c>
      <c r="L60" s="72" t="s">
        <v>27</v>
      </c>
      <c r="N60" s="1"/>
      <c r="O60" s="1"/>
      <c r="P60" s="1"/>
      <c r="Q60" s="1"/>
    </row>
    <row r="61" spans="1:17" x14ac:dyDescent="0.25">
      <c r="A61">
        <v>55</v>
      </c>
      <c r="B61" s="1" t="str">
        <f t="shared" si="1"/>
        <v>Dopravní výkon v letecké dopravě</v>
      </c>
      <c r="C61" s="1" t="s">
        <v>195</v>
      </c>
      <c r="D61" s="1" t="s">
        <v>196</v>
      </c>
      <c r="I61" s="1">
        <f t="shared" si="0"/>
        <v>33</v>
      </c>
      <c r="L61" s="72" t="s">
        <v>15</v>
      </c>
      <c r="N61" s="1"/>
      <c r="O61" s="1"/>
      <c r="P61" s="1"/>
      <c r="Q61" s="1"/>
    </row>
    <row r="62" spans="1:17" x14ac:dyDescent="0.25">
      <c r="A62">
        <v>56</v>
      </c>
      <c r="B62" s="1" t="str">
        <f t="shared" si="1"/>
        <v>Množství směsného komunálního odpadu zneškodněného skládkováním</v>
      </c>
      <c r="C62" s="1" t="s">
        <v>193</v>
      </c>
      <c r="D62" s="1" t="s">
        <v>194</v>
      </c>
      <c r="I62" s="1">
        <f t="shared" si="0"/>
        <v>64</v>
      </c>
      <c r="L62" s="72" t="s">
        <v>28</v>
      </c>
      <c r="N62" s="1"/>
      <c r="O62" s="1"/>
      <c r="P62" s="1"/>
      <c r="Q62" s="1"/>
    </row>
    <row r="63" spans="1:17" x14ac:dyDescent="0.25">
      <c r="A63">
        <v>57</v>
      </c>
      <c r="B63" s="1" t="str">
        <f t="shared" si="1"/>
        <v>Množství směsného komunálního odpadu zneškodněného spalováním</v>
      </c>
      <c r="C63" s="1" t="s">
        <v>191</v>
      </c>
      <c r="D63" s="1" t="s">
        <v>192</v>
      </c>
      <c r="I63" s="1">
        <f t="shared" si="0"/>
        <v>62</v>
      </c>
      <c r="L63" s="72" t="s">
        <v>29</v>
      </c>
      <c r="N63" s="1"/>
      <c r="O63" s="1"/>
      <c r="P63" s="1"/>
      <c r="Q63" s="1"/>
    </row>
    <row r="64" spans="1:17" x14ac:dyDescent="0.25">
      <c r="A64">
        <v>58</v>
      </c>
      <c r="B64" s="1" t="str">
        <f t="shared" si="1"/>
        <v>Celková produkce nebezpečného odpadu</v>
      </c>
      <c r="C64" s="1" t="s">
        <v>189</v>
      </c>
      <c r="D64" s="1" t="s">
        <v>190</v>
      </c>
      <c r="I64" s="1">
        <f t="shared" si="0"/>
        <v>37</v>
      </c>
      <c r="L64" s="72" t="s">
        <v>16</v>
      </c>
      <c r="N64" s="1"/>
      <c r="O64" s="1"/>
      <c r="P64" s="1"/>
      <c r="Q64" s="1"/>
    </row>
    <row r="65" spans="1:17" s="11" customFormat="1" x14ac:dyDescent="0.25">
      <c r="A65" s="11">
        <v>59</v>
      </c>
      <c r="B65" s="77" t="s">
        <v>168</v>
      </c>
      <c r="C65" s="78" t="s">
        <v>169</v>
      </c>
      <c r="D65" s="78" t="s">
        <v>167</v>
      </c>
      <c r="E65" s="78"/>
      <c r="F65" s="78"/>
      <c r="G65" s="78"/>
      <c r="H65" s="78"/>
      <c r="I65" s="78" t="e">
        <f t="shared" si="0"/>
        <v>#VALUE!</v>
      </c>
      <c r="J65" s="78"/>
      <c r="K65" s="78"/>
      <c r="L65" s="77" t="s">
        <v>2</v>
      </c>
      <c r="M65" s="78"/>
      <c r="N65" s="78"/>
      <c r="O65" s="78"/>
      <c r="P65" s="78"/>
      <c r="Q65" s="78"/>
    </row>
    <row r="66" spans="1:17" x14ac:dyDescent="0.25">
      <c r="A66">
        <v>60</v>
      </c>
      <c r="B66" s="1" t="str">
        <f t="shared" si="1"/>
        <v>Množství biologicky rozložitelného komunálního odpadu (BRKO)</v>
      </c>
      <c r="C66" s="1" t="s">
        <v>187</v>
      </c>
      <c r="D66" s="1" t="s">
        <v>188</v>
      </c>
      <c r="I66" s="1">
        <f t="shared" si="0"/>
        <v>61</v>
      </c>
      <c r="L66" s="72" t="s">
        <v>34</v>
      </c>
      <c r="N66" s="1"/>
      <c r="O66" s="1"/>
      <c r="P66" s="1"/>
      <c r="Q66" s="1"/>
    </row>
    <row r="67" spans="1:17" x14ac:dyDescent="0.25">
      <c r="A67">
        <v>61</v>
      </c>
      <c r="B67" s="1" t="str">
        <f t="shared" si="1"/>
        <v>Strategicko-institucionální situace města v oblasti adaptace na dopady změny klimatu</v>
      </c>
      <c r="C67" s="1" t="s">
        <v>185</v>
      </c>
      <c r="D67" s="1" t="s">
        <v>186</v>
      </c>
      <c r="I67" s="1">
        <f t="shared" si="0"/>
        <v>85</v>
      </c>
      <c r="L67" s="72" t="s">
        <v>30</v>
      </c>
      <c r="N67" s="1"/>
      <c r="O67" s="1"/>
      <c r="P67" s="1"/>
      <c r="Q67" s="1"/>
    </row>
    <row r="68" spans="1:17" x14ac:dyDescent="0.25">
      <c r="A68">
        <v>62</v>
      </c>
      <c r="B68" s="1" t="str">
        <f t="shared" si="1"/>
        <v>Prostředky vynaložené na realizaci adaptačních opatření</v>
      </c>
      <c r="C68" s="1" t="s">
        <v>183</v>
      </c>
      <c r="D68" s="1" t="s">
        <v>184</v>
      </c>
      <c r="I68" s="1">
        <f t="shared" si="0"/>
        <v>56</v>
      </c>
      <c r="L68" s="72" t="s">
        <v>17</v>
      </c>
      <c r="N68" s="1"/>
      <c r="O68" s="1"/>
      <c r="P68" s="1"/>
      <c r="Q68" s="1"/>
    </row>
    <row r="69" spans="1:17" x14ac:dyDescent="0.25">
      <c r="A69">
        <v>63</v>
      </c>
      <c r="B69" s="1" t="str">
        <f t="shared" si="1"/>
        <v>Existence nízkouhlíkové strategie/politiky/akčního plánu</v>
      </c>
      <c r="C69" s="1" t="s">
        <v>181</v>
      </c>
      <c r="D69" s="1" t="s">
        <v>182</v>
      </c>
      <c r="I69" s="1">
        <f t="shared" si="0"/>
        <v>57</v>
      </c>
      <c r="L69" s="72" t="s">
        <v>19</v>
      </c>
      <c r="N69" s="1"/>
      <c r="O69" s="1"/>
      <c r="P69" s="1"/>
      <c r="Q69" s="1"/>
    </row>
    <row r="70" spans="1:17" x14ac:dyDescent="0.25">
      <c r="A70">
        <v>64</v>
      </c>
      <c r="B70" s="1" t="str">
        <f t="shared" si="1"/>
        <v>Finanční prostředky na realizaci mitigačných opatření z celkového rozpočtu města</v>
      </c>
      <c r="C70" s="1" t="s">
        <v>179</v>
      </c>
      <c r="D70" s="1" t="s">
        <v>180</v>
      </c>
      <c r="I70" s="1">
        <f t="shared" si="0"/>
        <v>81</v>
      </c>
      <c r="L70" s="72" t="s">
        <v>31</v>
      </c>
      <c r="N70" s="1"/>
      <c r="O70" s="1"/>
      <c r="P70" s="1"/>
      <c r="Q70" s="1"/>
    </row>
    <row r="71" spans="1:17" x14ac:dyDescent="0.25">
      <c r="A71">
        <v>65</v>
      </c>
      <c r="B71" s="1" t="str">
        <f t="shared" si="1"/>
        <v>Podíl obytných budov v dané energetické třídě podle spotřeby tepla na vytápění</v>
      </c>
      <c r="C71" s="1" t="s">
        <v>177</v>
      </c>
      <c r="D71" s="1" t="s">
        <v>178</v>
      </c>
      <c r="I71" s="1">
        <f t="shared" si="0"/>
        <v>79</v>
      </c>
      <c r="L71" s="72" t="s">
        <v>37</v>
      </c>
      <c r="N71" s="1"/>
      <c r="O71" s="1"/>
      <c r="P71" s="1"/>
      <c r="Q71" s="1"/>
    </row>
    <row r="72" spans="1:17" x14ac:dyDescent="0.25">
      <c r="A72">
        <v>66</v>
      </c>
      <c r="B72" s="1" t="str">
        <f t="shared" si="1"/>
        <v>Podíl světelných míst veřejného osvětlení vyměněných za efektivnější zdroj</v>
      </c>
      <c r="C72" s="1" t="s">
        <v>175</v>
      </c>
      <c r="D72" s="1" t="s">
        <v>176</v>
      </c>
      <c r="I72" s="1">
        <f t="shared" si="0"/>
        <v>75</v>
      </c>
      <c r="L72" s="72" t="s">
        <v>32</v>
      </c>
      <c r="N72" s="1"/>
      <c r="O72" s="1"/>
      <c r="P72" s="1"/>
      <c r="Q72" s="1"/>
    </row>
    <row r="73" spans="1:17" x14ac:dyDescent="0.25">
      <c r="A73">
        <v>67</v>
      </c>
      <c r="B73" s="1" t="str">
        <f t="shared" si="1"/>
        <v>Instalovaný výkon nově nainstalovaných fotovoltaických panelů na obyvatele</v>
      </c>
      <c r="C73" s="1" t="s">
        <v>173</v>
      </c>
      <c r="D73" s="1" t="s">
        <v>174</v>
      </c>
      <c r="I73" s="1">
        <f t="shared" si="0"/>
        <v>75</v>
      </c>
      <c r="L73" s="72" t="s">
        <v>22</v>
      </c>
      <c r="N73" s="1"/>
      <c r="O73" s="1"/>
      <c r="P73" s="1"/>
      <c r="Q73" s="1"/>
    </row>
    <row r="74" spans="1:17" x14ac:dyDescent="0.25">
      <c r="A74" s="11">
        <v>68</v>
      </c>
      <c r="B74" s="78" t="str">
        <f>TRIM(LEFT(C74,I74))</f>
        <v>Celkový výkon náhradních zdrojů na výrobu elektřiny</v>
      </c>
      <c r="C74" s="77" t="s">
        <v>165</v>
      </c>
      <c r="D74" s="78" t="s">
        <v>166</v>
      </c>
      <c r="E74" s="78" t="s">
        <v>164</v>
      </c>
      <c r="F74" s="78"/>
      <c r="G74" s="78"/>
      <c r="H74" s="78"/>
      <c r="I74" s="78">
        <f>FIND("   ",C74)</f>
        <v>52</v>
      </c>
      <c r="J74" s="78"/>
      <c r="K74" s="78"/>
      <c r="O74" s="1"/>
      <c r="P74" s="1"/>
      <c r="Q74" s="1"/>
    </row>
    <row r="75" spans="1:17" s="11" customFormat="1" x14ac:dyDescent="0.25">
      <c r="A75" s="11">
        <v>69</v>
      </c>
      <c r="B75" s="77" t="s">
        <v>171</v>
      </c>
      <c r="C75" s="78" t="s">
        <v>172</v>
      </c>
      <c r="D75" s="78" t="s">
        <v>170</v>
      </c>
      <c r="E75" s="78"/>
      <c r="F75" s="78"/>
      <c r="G75" s="78"/>
    </row>
    <row r="76" spans="1:17" s="11" customFormat="1" x14ac:dyDescent="0.25">
      <c r="A76" s="11">
        <v>70</v>
      </c>
      <c r="B76" s="77" t="s">
        <v>1084</v>
      </c>
      <c r="C76" s="78" t="s">
        <v>1085</v>
      </c>
      <c r="D76" s="78" t="s">
        <v>1086</v>
      </c>
      <c r="E76" s="78"/>
      <c r="F76" s="78"/>
      <c r="G76" s="78"/>
      <c r="L76" s="78"/>
      <c r="M76" s="78"/>
    </row>
    <row r="77" spans="1:17" s="11" customFormat="1" x14ac:dyDescent="0.25">
      <c r="A77" s="11">
        <v>71</v>
      </c>
      <c r="B77" s="77" t="s">
        <v>108</v>
      </c>
      <c r="C77" s="78" t="s">
        <v>107</v>
      </c>
      <c r="D77" s="78" t="s">
        <v>106</v>
      </c>
      <c r="E77" s="78"/>
      <c r="F77" s="78"/>
      <c r="G77" s="78"/>
      <c r="L77" s="78"/>
      <c r="M77" s="78"/>
    </row>
    <row r="78" spans="1:17" s="11" customFormat="1" x14ac:dyDescent="0.25">
      <c r="A78" s="11">
        <v>72</v>
      </c>
      <c r="B78" s="77" t="s">
        <v>101</v>
      </c>
      <c r="C78" s="78" t="s">
        <v>102</v>
      </c>
      <c r="D78" s="78" t="s">
        <v>100</v>
      </c>
      <c r="E78" s="78"/>
      <c r="F78" s="78"/>
      <c r="G78" s="78"/>
      <c r="L78" s="78"/>
      <c r="M78" s="78"/>
    </row>
    <row r="79" spans="1:17" s="11" customFormat="1" x14ac:dyDescent="0.25">
      <c r="A79" s="11">
        <v>73</v>
      </c>
      <c r="B79" s="77" t="s">
        <v>99</v>
      </c>
      <c r="C79" s="78" t="s">
        <v>98</v>
      </c>
      <c r="D79" s="78" t="s">
        <v>97</v>
      </c>
      <c r="E79" s="78"/>
      <c r="F79" s="78"/>
      <c r="G79" s="78"/>
      <c r="L79" s="78"/>
      <c r="M79" s="78"/>
    </row>
    <row r="80" spans="1:17" s="11" customFormat="1" x14ac:dyDescent="0.25">
      <c r="A80" s="11">
        <v>74</v>
      </c>
      <c r="B80" s="77" t="s">
        <v>105</v>
      </c>
      <c r="C80" s="78" t="s">
        <v>104</v>
      </c>
      <c r="D80" s="78" t="s">
        <v>103</v>
      </c>
      <c r="E80" s="78"/>
      <c r="F80" s="78"/>
      <c r="G80" s="78"/>
      <c r="L80" s="78"/>
      <c r="M80" s="78"/>
    </row>
    <row r="81" spans="1:17" s="11" customFormat="1" x14ac:dyDescent="0.25">
      <c r="A81" s="11">
        <v>75</v>
      </c>
      <c r="B81" s="77" t="s">
        <v>95</v>
      </c>
      <c r="C81" s="78" t="s">
        <v>96</v>
      </c>
      <c r="D81" s="78" t="s">
        <v>94</v>
      </c>
      <c r="E81" s="78"/>
      <c r="F81" s="78"/>
      <c r="G81" s="78"/>
      <c r="L81" s="78"/>
      <c r="M81" s="78"/>
    </row>
    <row r="82" spans="1:17" s="11" customFormat="1" x14ac:dyDescent="0.25">
      <c r="A82" s="11">
        <v>76</v>
      </c>
      <c r="B82" s="77" t="s">
        <v>92</v>
      </c>
      <c r="C82" s="78" t="s">
        <v>93</v>
      </c>
      <c r="D82" s="78" t="s">
        <v>91</v>
      </c>
      <c r="E82" s="78"/>
      <c r="F82" s="78"/>
      <c r="G82" s="78"/>
      <c r="L82" s="78"/>
      <c r="M82" s="78"/>
    </row>
    <row r="83" spans="1:17" x14ac:dyDescent="0.25">
      <c r="A83">
        <v>77</v>
      </c>
      <c r="B83" s="81" t="s">
        <v>318</v>
      </c>
      <c r="C83" s="82" t="s">
        <v>320</v>
      </c>
      <c r="D83" s="1" t="s">
        <v>319</v>
      </c>
      <c r="N83" s="1"/>
      <c r="O83" s="1"/>
      <c r="P83" s="1"/>
      <c r="Q83" s="1"/>
    </row>
    <row r="84" spans="1:17" x14ac:dyDescent="0.25">
      <c r="A84" s="83">
        <v>78</v>
      </c>
      <c r="B84" s="6" t="s">
        <v>322</v>
      </c>
      <c r="C84" s="82" t="s">
        <v>323</v>
      </c>
      <c r="D84" s="1" t="s">
        <v>321</v>
      </c>
      <c r="N84" s="1"/>
      <c r="O84" s="1"/>
      <c r="P84" s="1"/>
      <c r="Q84" s="1"/>
    </row>
    <row r="85" spans="1:17" x14ac:dyDescent="0.25">
      <c r="A85">
        <v>79</v>
      </c>
      <c r="B85" s="6" t="s">
        <v>325</v>
      </c>
      <c r="C85" s="85" t="s">
        <v>326</v>
      </c>
      <c r="D85" s="84" t="s">
        <v>324</v>
      </c>
      <c r="N85" s="1"/>
      <c r="O85" s="1"/>
      <c r="P85" s="1"/>
      <c r="Q85" s="1"/>
    </row>
    <row r="86" spans="1:17" x14ac:dyDescent="0.25">
      <c r="A86">
        <v>80</v>
      </c>
      <c r="B86" s="86" t="s">
        <v>346</v>
      </c>
      <c r="C86" s="85" t="s">
        <v>345</v>
      </c>
      <c r="D86" s="84" t="s">
        <v>347</v>
      </c>
      <c r="N86" s="1"/>
      <c r="O86" s="1"/>
      <c r="P86" s="1"/>
      <c r="Q86" s="1"/>
    </row>
    <row r="87" spans="1:17" x14ac:dyDescent="0.25">
      <c r="A87">
        <v>81</v>
      </c>
      <c r="B87" s="23" t="s">
        <v>329</v>
      </c>
      <c r="C87" s="85" t="s">
        <v>328</v>
      </c>
      <c r="D87" s="84" t="s">
        <v>327</v>
      </c>
      <c r="N87" s="1"/>
      <c r="O87" s="1"/>
      <c r="P87" s="1"/>
      <c r="Q87" s="1"/>
    </row>
    <row r="88" spans="1:17" x14ac:dyDescent="0.25">
      <c r="A88">
        <v>82</v>
      </c>
      <c r="B88" s="1" t="s">
        <v>332</v>
      </c>
      <c r="C88" s="85" t="s">
        <v>331</v>
      </c>
      <c r="D88" s="84" t="s">
        <v>330</v>
      </c>
      <c r="N88" s="1"/>
      <c r="O88" s="1"/>
      <c r="P88" s="1"/>
      <c r="Q88" s="1"/>
    </row>
    <row r="89" spans="1:17" x14ac:dyDescent="0.25">
      <c r="A89">
        <v>83</v>
      </c>
      <c r="B89" s="76" t="s">
        <v>337</v>
      </c>
      <c r="C89" s="1" t="s">
        <v>338</v>
      </c>
      <c r="D89" s="1" t="s">
        <v>336</v>
      </c>
      <c r="N89" s="1"/>
      <c r="O89" s="1"/>
      <c r="P89" s="1"/>
      <c r="Q89" s="1"/>
    </row>
    <row r="90" spans="1:17" x14ac:dyDescent="0.25">
      <c r="A90">
        <v>84</v>
      </c>
      <c r="B90" s="6" t="s">
        <v>23</v>
      </c>
      <c r="N90" s="1"/>
      <c r="O90" s="1"/>
      <c r="P90" s="1"/>
      <c r="Q90" s="1"/>
    </row>
    <row r="91" spans="1:17" x14ac:dyDescent="0.25">
      <c r="A91">
        <v>85</v>
      </c>
      <c r="B91" s="76" t="s">
        <v>349</v>
      </c>
      <c r="C91" s="90" t="s">
        <v>348</v>
      </c>
      <c r="D91" s="1" t="s">
        <v>350</v>
      </c>
      <c r="N91" s="1"/>
      <c r="O91" s="1"/>
      <c r="P91" s="1"/>
      <c r="Q91" s="1"/>
    </row>
    <row r="92" spans="1:17" x14ac:dyDescent="0.25">
      <c r="A92">
        <v>86</v>
      </c>
      <c r="B92" s="76" t="s">
        <v>352</v>
      </c>
      <c r="C92" s="1" t="s">
        <v>353</v>
      </c>
      <c r="D92" s="1" t="s">
        <v>351</v>
      </c>
      <c r="N92" s="1"/>
      <c r="O92" s="1"/>
      <c r="P92" s="1"/>
      <c r="Q92" s="1"/>
    </row>
    <row r="93" spans="1:17" x14ac:dyDescent="0.25">
      <c r="A93">
        <v>87</v>
      </c>
      <c r="B93" s="76" t="s">
        <v>354</v>
      </c>
      <c r="C93" s="76" t="s">
        <v>356</v>
      </c>
      <c r="D93" s="1" t="s">
        <v>355</v>
      </c>
      <c r="N93" s="1"/>
      <c r="O93" s="1"/>
      <c r="P93" s="1"/>
      <c r="Q93" s="1"/>
    </row>
    <row r="94" spans="1:17" x14ac:dyDescent="0.25">
      <c r="A94">
        <v>88</v>
      </c>
      <c r="B94" s="76" t="s">
        <v>403</v>
      </c>
      <c r="C94" s="76" t="s">
        <v>402</v>
      </c>
      <c r="D94" s="1" t="s">
        <v>404</v>
      </c>
      <c r="N94" s="1"/>
      <c r="O94" s="1"/>
      <c r="P94" s="1"/>
      <c r="Q94" s="1"/>
    </row>
    <row r="95" spans="1:17" x14ac:dyDescent="0.25">
      <c r="A95">
        <v>89</v>
      </c>
      <c r="B95" s="76" t="s">
        <v>359</v>
      </c>
      <c r="C95" s="1" t="s">
        <v>358</v>
      </c>
      <c r="D95" s="1" t="s">
        <v>357</v>
      </c>
      <c r="N95" s="1"/>
      <c r="O95" s="1"/>
      <c r="P95" s="1"/>
      <c r="Q95" s="1"/>
    </row>
    <row r="96" spans="1:17" x14ac:dyDescent="0.25">
      <c r="A96">
        <v>90</v>
      </c>
      <c r="B96" s="76" t="s">
        <v>362</v>
      </c>
      <c r="C96" s="1" t="s">
        <v>360</v>
      </c>
      <c r="D96" s="1" t="s">
        <v>361</v>
      </c>
      <c r="N96" s="1"/>
      <c r="O96" s="1"/>
      <c r="P96" s="1"/>
      <c r="Q96" s="1"/>
    </row>
    <row r="97" spans="1:17" x14ac:dyDescent="0.25">
      <c r="A97">
        <v>91</v>
      </c>
      <c r="B97" s="76" t="s">
        <v>612</v>
      </c>
      <c r="C97" s="1" t="s">
        <v>613</v>
      </c>
      <c r="D97" s="1" t="s">
        <v>614</v>
      </c>
      <c r="N97" s="1"/>
      <c r="O97" s="1"/>
      <c r="P97" s="1"/>
      <c r="Q97" s="1"/>
    </row>
    <row r="98" spans="1:17" x14ac:dyDescent="0.25">
      <c r="A98">
        <v>92</v>
      </c>
      <c r="B98" s="76" t="s">
        <v>615</v>
      </c>
      <c r="C98" s="1" t="s">
        <v>616</v>
      </c>
      <c r="D98" s="1" t="s">
        <v>617</v>
      </c>
      <c r="N98" s="1"/>
      <c r="O98" s="1"/>
      <c r="P98" s="1"/>
      <c r="Q98" s="1"/>
    </row>
    <row r="99" spans="1:17" x14ac:dyDescent="0.25">
      <c r="A99">
        <v>93</v>
      </c>
      <c r="B99" s="1" t="s">
        <v>365</v>
      </c>
      <c r="C99" s="1" t="s">
        <v>364</v>
      </c>
      <c r="D99" s="1" t="s">
        <v>363</v>
      </c>
      <c r="N99" s="1"/>
      <c r="O99" s="1"/>
      <c r="P99" s="1"/>
      <c r="Q99" s="1"/>
    </row>
    <row r="100" spans="1:17" x14ac:dyDescent="0.25">
      <c r="A100">
        <v>94</v>
      </c>
      <c r="B100" s="1" t="s">
        <v>366</v>
      </c>
      <c r="C100" s="1" t="s">
        <v>367</v>
      </c>
      <c r="D100" s="1" t="s">
        <v>368</v>
      </c>
      <c r="N100" s="1"/>
      <c r="O100" s="1"/>
      <c r="P100" s="1"/>
      <c r="Q100" s="1"/>
    </row>
    <row r="101" spans="1:17" x14ac:dyDescent="0.25">
      <c r="A101">
        <v>95</v>
      </c>
      <c r="B101" s="1" t="s">
        <v>371</v>
      </c>
      <c r="C101" s="1" t="s">
        <v>370</v>
      </c>
      <c r="D101" s="1" t="s">
        <v>369</v>
      </c>
      <c r="N101" s="1"/>
      <c r="O101" s="1"/>
      <c r="P101" s="1"/>
      <c r="Q101" s="1"/>
    </row>
    <row r="102" spans="1:17" x14ac:dyDescent="0.25">
      <c r="A102">
        <v>96</v>
      </c>
      <c r="B102" s="8" t="s">
        <v>374</v>
      </c>
      <c r="C102" s="1" t="s">
        <v>373</v>
      </c>
      <c r="D102" s="1" t="s">
        <v>372</v>
      </c>
      <c r="N102" s="1"/>
      <c r="O102" s="1"/>
      <c r="P102" s="1"/>
      <c r="Q102" s="1"/>
    </row>
    <row r="103" spans="1:17" x14ac:dyDescent="0.25">
      <c r="A103">
        <v>97</v>
      </c>
      <c r="B103" s="9" t="s">
        <v>376</v>
      </c>
      <c r="C103" s="9" t="s">
        <v>376</v>
      </c>
      <c r="D103" s="1" t="s">
        <v>375</v>
      </c>
      <c r="N103" s="1"/>
      <c r="O103" s="1"/>
      <c r="P103" s="1"/>
      <c r="Q103" s="1"/>
    </row>
    <row r="104" spans="1:17" x14ac:dyDescent="0.25">
      <c r="A104">
        <v>98</v>
      </c>
      <c r="B104" s="9" t="s">
        <v>378</v>
      </c>
      <c r="C104" s="9" t="s">
        <v>378</v>
      </c>
      <c r="D104" s="1" t="s">
        <v>377</v>
      </c>
      <c r="N104" s="1"/>
      <c r="O104" s="1"/>
      <c r="P104" s="1"/>
      <c r="Q104" s="1"/>
    </row>
    <row r="105" spans="1:17" x14ac:dyDescent="0.25">
      <c r="A105">
        <v>99</v>
      </c>
      <c r="B105" s="6" t="s">
        <v>381</v>
      </c>
      <c r="C105" s="1" t="s">
        <v>380</v>
      </c>
      <c r="D105" s="1" t="s">
        <v>379</v>
      </c>
      <c r="N105" s="1"/>
      <c r="O105" s="1"/>
      <c r="P105" s="1"/>
      <c r="Q105" s="1"/>
    </row>
    <row r="106" spans="1:17" x14ac:dyDescent="0.25">
      <c r="A106">
        <v>100</v>
      </c>
      <c r="B106" s="13" t="s">
        <v>400</v>
      </c>
      <c r="C106" s="13" t="s">
        <v>400</v>
      </c>
      <c r="D106" s="1" t="s">
        <v>401</v>
      </c>
      <c r="N106" s="1"/>
      <c r="O106" s="1"/>
      <c r="P106" s="1"/>
      <c r="Q106" s="1"/>
    </row>
    <row r="107" spans="1:17" x14ac:dyDescent="0.25">
      <c r="A107">
        <v>101</v>
      </c>
      <c r="B107" s="6" t="s">
        <v>383</v>
      </c>
      <c r="C107" s="1" t="s">
        <v>384</v>
      </c>
      <c r="D107" s="1" t="s">
        <v>382</v>
      </c>
      <c r="N107" s="1"/>
      <c r="O107" s="1"/>
      <c r="P107" s="1"/>
      <c r="Q107" s="1"/>
    </row>
    <row r="108" spans="1:17" x14ac:dyDescent="0.25">
      <c r="A108">
        <v>102</v>
      </c>
      <c r="B108" s="6" t="s">
        <v>398</v>
      </c>
      <c r="C108" s="1" t="s">
        <v>399</v>
      </c>
      <c r="D108" s="1" t="s">
        <v>385</v>
      </c>
      <c r="N108" s="1"/>
      <c r="O108" s="1"/>
      <c r="P108" s="1"/>
      <c r="Q108" s="1"/>
    </row>
    <row r="109" spans="1:17" x14ac:dyDescent="0.25">
      <c r="A109">
        <v>103</v>
      </c>
      <c r="B109" s="6" t="s">
        <v>396</v>
      </c>
      <c r="C109" s="1" t="s">
        <v>397</v>
      </c>
      <c r="D109" s="1" t="s">
        <v>386</v>
      </c>
      <c r="N109" s="1"/>
      <c r="O109" s="1"/>
      <c r="P109" s="1"/>
      <c r="Q109" s="1"/>
    </row>
    <row r="110" spans="1:17" x14ac:dyDescent="0.25">
      <c r="A110">
        <v>104</v>
      </c>
      <c r="B110" s="6" t="s">
        <v>394</v>
      </c>
      <c r="C110" s="1" t="s">
        <v>395</v>
      </c>
      <c r="D110" s="1" t="s">
        <v>387</v>
      </c>
      <c r="N110" s="1"/>
      <c r="O110" s="1"/>
      <c r="P110" s="1"/>
      <c r="Q110" s="1"/>
    </row>
    <row r="111" spans="1:17" x14ac:dyDescent="0.25">
      <c r="A111">
        <v>105</v>
      </c>
      <c r="B111" s="6" t="s">
        <v>392</v>
      </c>
      <c r="C111" s="1" t="s">
        <v>393</v>
      </c>
      <c r="D111" s="1" t="s">
        <v>388</v>
      </c>
    </row>
    <row r="112" spans="1:17" x14ac:dyDescent="0.25">
      <c r="A112">
        <v>106</v>
      </c>
      <c r="B112" s="6" t="s">
        <v>390</v>
      </c>
      <c r="C112" s="1" t="s">
        <v>391</v>
      </c>
      <c r="D112" s="1" t="s">
        <v>389</v>
      </c>
    </row>
    <row r="113" spans="1:4" x14ac:dyDescent="0.25">
      <c r="A113">
        <v>107</v>
      </c>
      <c r="B113" s="1" t="s">
        <v>405</v>
      </c>
      <c r="C113" s="1" t="s">
        <v>406</v>
      </c>
      <c r="D113" s="1" t="s">
        <v>407</v>
      </c>
    </row>
    <row r="114" spans="1:4" x14ac:dyDescent="0.25">
      <c r="A114">
        <v>108</v>
      </c>
      <c r="B114" s="1" t="s">
        <v>410</v>
      </c>
      <c r="C114" s="76" t="s">
        <v>409</v>
      </c>
      <c r="D114" s="1" t="s">
        <v>408</v>
      </c>
    </row>
    <row r="115" spans="1:4" x14ac:dyDescent="0.25">
      <c r="A115">
        <v>109</v>
      </c>
      <c r="B115" s="76" t="s">
        <v>412</v>
      </c>
      <c r="C115" s="1" t="s">
        <v>413</v>
      </c>
      <c r="D115" s="1" t="s">
        <v>411</v>
      </c>
    </row>
    <row r="116" spans="1:4" x14ac:dyDescent="0.25">
      <c r="A116">
        <v>110</v>
      </c>
      <c r="B116" s="46" t="s">
        <v>415</v>
      </c>
      <c r="C116" s="76" t="s">
        <v>416</v>
      </c>
      <c r="D116" s="1" t="s">
        <v>414</v>
      </c>
    </row>
    <row r="117" spans="1:4" x14ac:dyDescent="0.25">
      <c r="A117">
        <v>111</v>
      </c>
      <c r="B117" s="1" t="s">
        <v>419</v>
      </c>
      <c r="C117" s="76" t="s">
        <v>418</v>
      </c>
      <c r="D117" s="1" t="s">
        <v>417</v>
      </c>
    </row>
    <row r="118" spans="1:4" x14ac:dyDescent="0.25">
      <c r="A118">
        <v>112</v>
      </c>
      <c r="B118" s="6" t="s">
        <v>421</v>
      </c>
      <c r="C118" s="1" t="s">
        <v>422</v>
      </c>
      <c r="D118" s="1" t="s">
        <v>420</v>
      </c>
    </row>
    <row r="119" spans="1:4" x14ac:dyDescent="0.25">
      <c r="A119">
        <v>113</v>
      </c>
      <c r="B119" s="1" t="s">
        <v>424</v>
      </c>
      <c r="C119" s="1" t="s">
        <v>425</v>
      </c>
      <c r="D119" s="1" t="s">
        <v>423</v>
      </c>
    </row>
    <row r="120" spans="1:4" x14ac:dyDescent="0.25">
      <c r="A120">
        <v>114</v>
      </c>
      <c r="B120" s="1" t="s">
        <v>429</v>
      </c>
      <c r="C120" s="76" t="s">
        <v>430</v>
      </c>
      <c r="D120" s="1" t="s">
        <v>431</v>
      </c>
    </row>
    <row r="121" spans="1:4" x14ac:dyDescent="0.25">
      <c r="A121">
        <v>115</v>
      </c>
      <c r="B121" s="76" t="s">
        <v>427</v>
      </c>
      <c r="C121" s="1" t="s">
        <v>428</v>
      </c>
      <c r="D121" s="1" t="s">
        <v>426</v>
      </c>
    </row>
    <row r="122" spans="1:4" x14ac:dyDescent="0.25">
      <c r="A122">
        <v>116</v>
      </c>
      <c r="B122" s="76" t="s">
        <v>433</v>
      </c>
      <c r="C122" s="1" t="s">
        <v>434</v>
      </c>
      <c r="D122" s="1" t="s">
        <v>432</v>
      </c>
    </row>
    <row r="123" spans="1:4" x14ac:dyDescent="0.25">
      <c r="A123">
        <v>117</v>
      </c>
      <c r="B123" s="47" t="s">
        <v>436</v>
      </c>
      <c r="C123" s="76" t="s">
        <v>437</v>
      </c>
      <c r="D123" s="1" t="s">
        <v>435</v>
      </c>
    </row>
    <row r="124" spans="1:4" x14ac:dyDescent="0.25">
      <c r="A124">
        <v>118</v>
      </c>
      <c r="B124" s="1" t="s">
        <v>439</v>
      </c>
      <c r="C124" s="1" t="s">
        <v>440</v>
      </c>
      <c r="D124" s="1" t="s">
        <v>438</v>
      </c>
    </row>
    <row r="125" spans="1:4" x14ac:dyDescent="0.25">
      <c r="A125">
        <v>119</v>
      </c>
      <c r="B125" s="1" t="s">
        <v>442</v>
      </c>
      <c r="C125" s="1" t="s">
        <v>443</v>
      </c>
      <c r="D125" s="1" t="s">
        <v>441</v>
      </c>
    </row>
    <row r="126" spans="1:4" x14ac:dyDescent="0.25">
      <c r="A126">
        <v>120</v>
      </c>
      <c r="B126" s="1" t="s">
        <v>447</v>
      </c>
      <c r="C126" s="1" t="s">
        <v>448</v>
      </c>
      <c r="D126" s="1" t="s">
        <v>449</v>
      </c>
    </row>
    <row r="127" spans="1:4" x14ac:dyDescent="0.25">
      <c r="A127">
        <v>121</v>
      </c>
      <c r="B127" s="1" t="s">
        <v>445</v>
      </c>
      <c r="C127" s="1" t="s">
        <v>446</v>
      </c>
      <c r="D127" s="1" t="s">
        <v>444</v>
      </c>
    </row>
    <row r="128" spans="1:4" x14ac:dyDescent="0.25">
      <c r="A128">
        <v>122</v>
      </c>
      <c r="B128" s="1" t="s">
        <v>452</v>
      </c>
      <c r="C128" s="1" t="s">
        <v>451</v>
      </c>
      <c r="D128" s="1" t="s">
        <v>450</v>
      </c>
    </row>
    <row r="129" spans="1:4" x14ac:dyDescent="0.25">
      <c r="A129">
        <v>123</v>
      </c>
      <c r="B129" s="1" t="s">
        <v>457</v>
      </c>
      <c r="C129" s="1" t="s">
        <v>458</v>
      </c>
      <c r="D129" s="1" t="s">
        <v>456</v>
      </c>
    </row>
    <row r="130" spans="1:4" x14ac:dyDescent="0.25">
      <c r="A130">
        <v>124</v>
      </c>
      <c r="B130" s="1" t="s">
        <v>607</v>
      </c>
      <c r="C130" s="1" t="s">
        <v>611</v>
      </c>
      <c r="D130" s="1" t="s">
        <v>610</v>
      </c>
    </row>
    <row r="131" spans="1:4" x14ac:dyDescent="0.25">
      <c r="A131">
        <v>125</v>
      </c>
      <c r="B131" s="1" t="s">
        <v>606</v>
      </c>
      <c r="C131" s="1" t="s">
        <v>608</v>
      </c>
      <c r="D131" s="1" t="s">
        <v>609</v>
      </c>
    </row>
    <row r="132" spans="1:4" x14ac:dyDescent="0.25">
      <c r="A132">
        <v>126</v>
      </c>
      <c r="B132" s="93" t="s">
        <v>365</v>
      </c>
      <c r="C132" s="1" t="s">
        <v>364</v>
      </c>
      <c r="D132" s="1" t="s">
        <v>363</v>
      </c>
    </row>
    <row r="133" spans="1:4" x14ac:dyDescent="0.25">
      <c r="A133">
        <v>127</v>
      </c>
      <c r="B133" s="1" t="s">
        <v>463</v>
      </c>
      <c r="C133" s="1" t="s">
        <v>464</v>
      </c>
      <c r="D133" s="1" t="s">
        <v>462</v>
      </c>
    </row>
    <row r="134" spans="1:4" x14ac:dyDescent="0.25">
      <c r="A134">
        <v>128</v>
      </c>
      <c r="B134" s="1" t="s">
        <v>850</v>
      </c>
      <c r="C134" s="1" t="s">
        <v>851</v>
      </c>
      <c r="D134" s="1" t="s">
        <v>852</v>
      </c>
    </row>
    <row r="135" spans="1:4" x14ac:dyDescent="0.25">
      <c r="A135">
        <v>129</v>
      </c>
      <c r="B135" s="1" t="s">
        <v>467</v>
      </c>
      <c r="C135" s="1" t="s">
        <v>466</v>
      </c>
      <c r="D135" s="1" t="s">
        <v>465</v>
      </c>
    </row>
    <row r="136" spans="1:4" x14ac:dyDescent="0.25">
      <c r="A136">
        <v>130</v>
      </c>
      <c r="B136" t="s">
        <v>333</v>
      </c>
      <c r="C136" t="s">
        <v>334</v>
      </c>
      <c r="D136" t="s">
        <v>335</v>
      </c>
    </row>
    <row r="137" spans="1:4" x14ac:dyDescent="0.25">
      <c r="A137">
        <v>131</v>
      </c>
      <c r="B137" s="1" t="s">
        <v>453</v>
      </c>
      <c r="C137" s="1" t="s">
        <v>454</v>
      </c>
      <c r="D137" s="1" t="s">
        <v>455</v>
      </c>
    </row>
    <row r="138" spans="1:4" x14ac:dyDescent="0.25">
      <c r="A138">
        <v>132</v>
      </c>
      <c r="B138" s="1" t="s">
        <v>469</v>
      </c>
      <c r="C138" s="1" t="s">
        <v>470</v>
      </c>
      <c r="D138" s="1" t="s">
        <v>468</v>
      </c>
    </row>
    <row r="139" spans="1:4" x14ac:dyDescent="0.25">
      <c r="A139">
        <v>133</v>
      </c>
      <c r="B139" s="1" t="s">
        <v>473</v>
      </c>
      <c r="C139" s="1" t="s">
        <v>472</v>
      </c>
      <c r="D139" s="1" t="s">
        <v>471</v>
      </c>
    </row>
    <row r="140" spans="1:4" x14ac:dyDescent="0.25">
      <c r="A140">
        <v>134</v>
      </c>
      <c r="B140" s="6" t="s">
        <v>475</v>
      </c>
      <c r="C140" s="1" t="s">
        <v>476</v>
      </c>
      <c r="D140" s="1" t="s">
        <v>474</v>
      </c>
    </row>
    <row r="141" spans="1:4" x14ac:dyDescent="0.25">
      <c r="A141">
        <v>135</v>
      </c>
      <c r="B141" s="6" t="s">
        <v>478</v>
      </c>
      <c r="C141" s="1" t="s">
        <v>479</v>
      </c>
      <c r="D141" s="1" t="s">
        <v>477</v>
      </c>
    </row>
    <row r="142" spans="1:4" x14ac:dyDescent="0.25">
      <c r="A142">
        <v>136</v>
      </c>
      <c r="B142" s="76" t="s">
        <v>831</v>
      </c>
      <c r="C142" s="1" t="s">
        <v>832</v>
      </c>
      <c r="D142" s="1" t="s">
        <v>833</v>
      </c>
    </row>
    <row r="143" spans="1:4" x14ac:dyDescent="0.25">
      <c r="A143">
        <v>137</v>
      </c>
      <c r="B143" s="47" t="s">
        <v>834</v>
      </c>
      <c r="C143" s="1" t="s">
        <v>835</v>
      </c>
      <c r="D143" s="1" t="s">
        <v>836</v>
      </c>
    </row>
    <row r="144" spans="1:4" x14ac:dyDescent="0.25">
      <c r="A144">
        <v>138</v>
      </c>
      <c r="B144" s="1" t="s">
        <v>837</v>
      </c>
      <c r="C144" s="1" t="s">
        <v>838</v>
      </c>
      <c r="D144" s="1" t="s">
        <v>839</v>
      </c>
    </row>
    <row r="145" spans="1:4" x14ac:dyDescent="0.25">
      <c r="A145">
        <v>139</v>
      </c>
      <c r="B145" s="1" t="s">
        <v>481</v>
      </c>
      <c r="C145" s="1" t="s">
        <v>482</v>
      </c>
      <c r="D145" s="1" t="s">
        <v>480</v>
      </c>
    </row>
    <row r="146" spans="1:4" x14ac:dyDescent="0.25">
      <c r="A146">
        <v>140</v>
      </c>
      <c r="B146" s="1" t="s">
        <v>1</v>
      </c>
      <c r="C146" s="1" t="s">
        <v>1</v>
      </c>
      <c r="D146" s="1" t="s">
        <v>483</v>
      </c>
    </row>
    <row r="147" spans="1:4" x14ac:dyDescent="0.25">
      <c r="A147">
        <v>141</v>
      </c>
      <c r="B147" s="1" t="s">
        <v>485</v>
      </c>
      <c r="C147" s="1" t="s">
        <v>486</v>
      </c>
      <c r="D147" s="1" t="s">
        <v>484</v>
      </c>
    </row>
    <row r="148" spans="1:4" x14ac:dyDescent="0.25">
      <c r="A148">
        <v>142</v>
      </c>
      <c r="B148" s="1" t="s">
        <v>488</v>
      </c>
      <c r="C148" s="1" t="s">
        <v>489</v>
      </c>
      <c r="D148" s="1" t="s">
        <v>487</v>
      </c>
    </row>
    <row r="149" spans="1:4" x14ac:dyDescent="0.25">
      <c r="A149">
        <v>143</v>
      </c>
      <c r="B149" s="1" t="s">
        <v>490</v>
      </c>
      <c r="C149" s="1" t="s">
        <v>491</v>
      </c>
      <c r="D149" s="1" t="s">
        <v>492</v>
      </c>
    </row>
    <row r="150" spans="1:4" x14ac:dyDescent="0.25">
      <c r="A150">
        <v>144</v>
      </c>
      <c r="B150" s="1" t="s">
        <v>343</v>
      </c>
      <c r="C150" s="1" t="s">
        <v>344</v>
      </c>
      <c r="D150" s="1" t="s">
        <v>342</v>
      </c>
    </row>
    <row r="151" spans="1:4" x14ac:dyDescent="0.25">
      <c r="A151">
        <v>145</v>
      </c>
      <c r="B151" s="1" t="s">
        <v>494</v>
      </c>
      <c r="C151" s="1" t="s">
        <v>495</v>
      </c>
      <c r="D151" s="1" t="s">
        <v>493</v>
      </c>
    </row>
    <row r="152" spans="1:4" x14ac:dyDescent="0.25">
      <c r="A152">
        <v>146</v>
      </c>
      <c r="B152" s="1" t="s">
        <v>365</v>
      </c>
      <c r="C152" s="1" t="s">
        <v>364</v>
      </c>
      <c r="D152" s="1" t="s">
        <v>363</v>
      </c>
    </row>
    <row r="153" spans="1:4" x14ac:dyDescent="0.25">
      <c r="A153">
        <v>147</v>
      </c>
      <c r="B153" s="1" t="s">
        <v>497</v>
      </c>
      <c r="C153" s="1" t="s">
        <v>498</v>
      </c>
      <c r="D153" s="1" t="s">
        <v>496</v>
      </c>
    </row>
    <row r="154" spans="1:4" x14ac:dyDescent="0.25">
      <c r="A154">
        <v>148</v>
      </c>
      <c r="B154" s="1" t="s">
        <v>500</v>
      </c>
      <c r="C154" s="1" t="s">
        <v>501</v>
      </c>
      <c r="D154" s="1" t="s">
        <v>499</v>
      </c>
    </row>
    <row r="155" spans="1:4" x14ac:dyDescent="0.25">
      <c r="A155">
        <v>149</v>
      </c>
      <c r="B155" s="1" t="s">
        <v>503</v>
      </c>
      <c r="C155" s="1" t="s">
        <v>504</v>
      </c>
      <c r="D155" s="1" t="s">
        <v>502</v>
      </c>
    </row>
    <row r="156" spans="1:4" x14ac:dyDescent="0.25">
      <c r="A156">
        <v>150</v>
      </c>
      <c r="B156" s="1" t="s">
        <v>506</v>
      </c>
      <c r="C156" s="1" t="s">
        <v>507</v>
      </c>
      <c r="D156" s="1" t="s">
        <v>505</v>
      </c>
    </row>
    <row r="157" spans="1:4" x14ac:dyDescent="0.25">
      <c r="A157">
        <v>151</v>
      </c>
      <c r="B157" s="6" t="s">
        <v>509</v>
      </c>
      <c r="C157" s="1" t="s">
        <v>510</v>
      </c>
      <c r="D157" s="1" t="s">
        <v>508</v>
      </c>
    </row>
    <row r="158" spans="1:4" x14ac:dyDescent="0.25">
      <c r="A158">
        <v>152</v>
      </c>
      <c r="B158" s="6" t="s">
        <v>512</v>
      </c>
      <c r="C158" s="1" t="s">
        <v>513</v>
      </c>
      <c r="D158" s="1" t="s">
        <v>511</v>
      </c>
    </row>
    <row r="159" spans="1:4" x14ac:dyDescent="0.25">
      <c r="A159">
        <v>153</v>
      </c>
      <c r="B159" s="5" t="s">
        <v>515</v>
      </c>
      <c r="C159" s="76" t="s">
        <v>516</v>
      </c>
      <c r="D159" s="1" t="s">
        <v>514</v>
      </c>
    </row>
    <row r="160" spans="1:4" ht="30" x14ac:dyDescent="0.25">
      <c r="A160">
        <v>154</v>
      </c>
      <c r="B160" s="5" t="s">
        <v>518</v>
      </c>
      <c r="C160" s="76" t="s">
        <v>519</v>
      </c>
      <c r="D160" s="1" t="s">
        <v>517</v>
      </c>
    </row>
    <row r="161" spans="1:4" ht="45" x14ac:dyDescent="0.25">
      <c r="A161">
        <v>155</v>
      </c>
      <c r="B161" s="5" t="s">
        <v>522</v>
      </c>
      <c r="C161" s="76" t="s">
        <v>521</v>
      </c>
      <c r="D161" s="1" t="s">
        <v>520</v>
      </c>
    </row>
    <row r="162" spans="1:4" ht="30" x14ac:dyDescent="0.25">
      <c r="A162">
        <v>156</v>
      </c>
      <c r="B162" s="5" t="s">
        <v>525</v>
      </c>
      <c r="C162" s="1" t="s">
        <v>524</v>
      </c>
      <c r="D162" s="1" t="s">
        <v>523</v>
      </c>
    </row>
    <row r="163" spans="1:4" x14ac:dyDescent="0.25">
      <c r="A163">
        <v>157</v>
      </c>
      <c r="B163" s="98" t="s">
        <v>526</v>
      </c>
      <c r="C163" s="1" t="s">
        <v>527</v>
      </c>
      <c r="D163" s="1" t="s">
        <v>528</v>
      </c>
    </row>
    <row r="164" spans="1:4" x14ac:dyDescent="0.25">
      <c r="A164">
        <v>158</v>
      </c>
      <c r="B164" s="98" t="s">
        <v>529</v>
      </c>
      <c r="C164" s="1" t="s">
        <v>530</v>
      </c>
      <c r="D164" s="1" t="s">
        <v>531</v>
      </c>
    </row>
    <row r="165" spans="1:4" x14ac:dyDescent="0.25">
      <c r="A165">
        <v>159</v>
      </c>
      <c r="B165" s="98" t="s">
        <v>533</v>
      </c>
      <c r="C165" s="1" t="s">
        <v>534</v>
      </c>
      <c r="D165" s="1" t="s">
        <v>532</v>
      </c>
    </row>
    <row r="166" spans="1:4" x14ac:dyDescent="0.25">
      <c r="A166">
        <v>160</v>
      </c>
      <c r="B166" s="98" t="s">
        <v>538</v>
      </c>
      <c r="C166" s="1" t="s">
        <v>537</v>
      </c>
      <c r="D166" s="1" t="s">
        <v>536</v>
      </c>
    </row>
    <row r="167" spans="1:4" x14ac:dyDescent="0.25">
      <c r="A167">
        <v>161</v>
      </c>
      <c r="B167" s="47" t="s">
        <v>540</v>
      </c>
      <c r="C167" s="1" t="s">
        <v>541</v>
      </c>
      <c r="D167" s="1" t="s">
        <v>539</v>
      </c>
    </row>
    <row r="168" spans="1:4" x14ac:dyDescent="0.25">
      <c r="A168">
        <v>162</v>
      </c>
      <c r="B168" s="5" t="s">
        <v>799</v>
      </c>
      <c r="C168" s="1" t="s">
        <v>803</v>
      </c>
      <c r="D168" s="1" t="s">
        <v>804</v>
      </c>
    </row>
    <row r="169" spans="1:4" x14ac:dyDescent="0.25">
      <c r="A169">
        <v>163</v>
      </c>
      <c r="B169" s="5" t="s">
        <v>800</v>
      </c>
      <c r="C169" s="1" t="s">
        <v>805</v>
      </c>
      <c r="D169" s="1" t="s">
        <v>806</v>
      </c>
    </row>
    <row r="170" spans="1:4" x14ac:dyDescent="0.25">
      <c r="A170">
        <v>164</v>
      </c>
      <c r="B170" s="5" t="s">
        <v>801</v>
      </c>
      <c r="C170" s="1" t="s">
        <v>807</v>
      </c>
      <c r="D170" s="1" t="s">
        <v>808</v>
      </c>
    </row>
    <row r="171" spans="1:4" x14ac:dyDescent="0.25">
      <c r="A171">
        <v>165</v>
      </c>
      <c r="B171" s="5" t="s">
        <v>802</v>
      </c>
      <c r="C171" s="1" t="s">
        <v>809</v>
      </c>
      <c r="D171" s="1" t="s">
        <v>810</v>
      </c>
    </row>
    <row r="172" spans="1:4" x14ac:dyDescent="0.25">
      <c r="A172">
        <v>166</v>
      </c>
      <c r="B172" s="13" t="s">
        <v>544</v>
      </c>
      <c r="C172" s="1" t="s">
        <v>543</v>
      </c>
      <c r="D172" s="1" t="s">
        <v>542</v>
      </c>
    </row>
    <row r="173" spans="1:4" x14ac:dyDescent="0.25">
      <c r="A173">
        <v>167</v>
      </c>
      <c r="B173" s="25" t="s">
        <v>547</v>
      </c>
      <c r="C173" s="1" t="s">
        <v>546</v>
      </c>
      <c r="D173" s="1" t="s">
        <v>545</v>
      </c>
    </row>
    <row r="174" spans="1:4" x14ac:dyDescent="0.25">
      <c r="A174">
        <v>168</v>
      </c>
      <c r="B174" s="1" t="s">
        <v>550</v>
      </c>
      <c r="C174" s="1" t="s">
        <v>549</v>
      </c>
      <c r="D174" s="1" t="s">
        <v>548</v>
      </c>
    </row>
    <row r="175" spans="1:4" x14ac:dyDescent="0.25">
      <c r="A175">
        <v>169</v>
      </c>
      <c r="B175" s="5" t="s">
        <v>552</v>
      </c>
      <c r="C175" s="1" t="s">
        <v>553</v>
      </c>
      <c r="D175" s="1" t="s">
        <v>551</v>
      </c>
    </row>
    <row r="176" spans="1:4" x14ac:dyDescent="0.25">
      <c r="A176">
        <v>170</v>
      </c>
      <c r="B176" s="47" t="s">
        <v>554</v>
      </c>
      <c r="C176" s="1" t="s">
        <v>555</v>
      </c>
      <c r="D176" s="1" t="s">
        <v>556</v>
      </c>
    </row>
    <row r="177" spans="1:4" x14ac:dyDescent="0.25">
      <c r="A177">
        <v>171</v>
      </c>
      <c r="B177" s="1" t="s">
        <v>562</v>
      </c>
      <c r="C177" s="1" t="s">
        <v>561</v>
      </c>
      <c r="D177" s="1" t="s">
        <v>560</v>
      </c>
    </row>
    <row r="178" spans="1:4" x14ac:dyDescent="0.25">
      <c r="A178">
        <v>172</v>
      </c>
      <c r="B178" s="1" t="s">
        <v>461</v>
      </c>
      <c r="C178" s="1" t="s">
        <v>460</v>
      </c>
      <c r="D178" s="1" t="s">
        <v>459</v>
      </c>
    </row>
    <row r="179" spans="1:4" ht="15.75" thickBot="1" x14ac:dyDescent="0.3">
      <c r="A179">
        <v>173</v>
      </c>
      <c r="B179" s="1" t="s">
        <v>602</v>
      </c>
      <c r="C179" s="1" t="s">
        <v>603</v>
      </c>
      <c r="D179" s="1" t="s">
        <v>604</v>
      </c>
    </row>
    <row r="180" spans="1:4" ht="15.75" thickBot="1" x14ac:dyDescent="0.3">
      <c r="A180">
        <v>174</v>
      </c>
      <c r="B180" s="21" t="s">
        <v>365</v>
      </c>
      <c r="C180" s="76" t="s">
        <v>364</v>
      </c>
      <c r="D180" s="1" t="s">
        <v>363</v>
      </c>
    </row>
    <row r="181" spans="1:4" ht="15.75" thickBot="1" x14ac:dyDescent="0.3">
      <c r="A181">
        <v>175</v>
      </c>
      <c r="B181" s="21" t="s">
        <v>558</v>
      </c>
      <c r="C181" s="1" t="s">
        <v>559</v>
      </c>
      <c r="D181" s="1" t="s">
        <v>557</v>
      </c>
    </row>
    <row r="182" spans="1:4" x14ac:dyDescent="0.25">
      <c r="A182">
        <v>176</v>
      </c>
      <c r="B182" s="6" t="s">
        <v>565</v>
      </c>
      <c r="C182" s="1" t="s">
        <v>564</v>
      </c>
      <c r="D182" s="1" t="s">
        <v>563</v>
      </c>
    </row>
    <row r="183" spans="1:4" x14ac:dyDescent="0.25">
      <c r="A183">
        <v>177</v>
      </c>
      <c r="B183" s="47" t="s">
        <v>568</v>
      </c>
      <c r="C183" s="1" t="s">
        <v>567</v>
      </c>
      <c r="D183" s="1" t="s">
        <v>566</v>
      </c>
    </row>
    <row r="184" spans="1:4" x14ac:dyDescent="0.25">
      <c r="A184">
        <v>178</v>
      </c>
      <c r="B184" s="13" t="s">
        <v>571</v>
      </c>
      <c r="C184" s="1" t="s">
        <v>570</v>
      </c>
      <c r="D184" s="1" t="s">
        <v>569</v>
      </c>
    </row>
    <row r="185" spans="1:4" x14ac:dyDescent="0.25">
      <c r="A185">
        <v>179</v>
      </c>
      <c r="B185" s="1" t="s">
        <v>578</v>
      </c>
      <c r="C185" s="1" t="s">
        <v>579</v>
      </c>
      <c r="D185" s="1" t="s">
        <v>580</v>
      </c>
    </row>
    <row r="186" spans="1:4" x14ac:dyDescent="0.25">
      <c r="A186">
        <v>180</v>
      </c>
      <c r="B186" s="1" t="s">
        <v>574</v>
      </c>
      <c r="C186" s="1" t="s">
        <v>573</v>
      </c>
      <c r="D186" s="1" t="s">
        <v>572</v>
      </c>
    </row>
    <row r="187" spans="1:4" ht="15.75" thickBot="1" x14ac:dyDescent="0.3">
      <c r="A187">
        <v>181</v>
      </c>
      <c r="B187" s="76" t="s">
        <v>575</v>
      </c>
      <c r="C187" s="1" t="s">
        <v>576</v>
      </c>
      <c r="D187" s="1" t="s">
        <v>577</v>
      </c>
    </row>
    <row r="188" spans="1:4" ht="120.75" thickBot="1" x14ac:dyDescent="0.3">
      <c r="A188">
        <v>182</v>
      </c>
      <c r="B188" s="21" t="s">
        <v>581</v>
      </c>
      <c r="C188" s="21" t="s">
        <v>583</v>
      </c>
      <c r="D188" s="21" t="s">
        <v>582</v>
      </c>
    </row>
    <row r="189" spans="1:4" x14ac:dyDescent="0.25">
      <c r="A189">
        <v>183</v>
      </c>
      <c r="B189" s="6" t="s">
        <v>586</v>
      </c>
      <c r="C189" s="1" t="s">
        <v>585</v>
      </c>
      <c r="D189" s="1" t="s">
        <v>584</v>
      </c>
    </row>
    <row r="190" spans="1:4" x14ac:dyDescent="0.25">
      <c r="A190">
        <v>184</v>
      </c>
      <c r="B190" s="47" t="s">
        <v>587</v>
      </c>
      <c r="C190" s="1" t="s">
        <v>588</v>
      </c>
      <c r="D190" s="1" t="s">
        <v>589</v>
      </c>
    </row>
    <row r="191" spans="1:4" x14ac:dyDescent="0.25">
      <c r="A191">
        <v>185</v>
      </c>
      <c r="B191" s="1" t="s">
        <v>592</v>
      </c>
      <c r="C191" s="1" t="s">
        <v>591</v>
      </c>
      <c r="D191" s="1" t="s">
        <v>590</v>
      </c>
    </row>
    <row r="192" spans="1:4" x14ac:dyDescent="0.25">
      <c r="A192">
        <v>186</v>
      </c>
      <c r="B192" s="5" t="s">
        <v>595</v>
      </c>
      <c r="C192" s="1" t="s">
        <v>594</v>
      </c>
      <c r="D192" s="1" t="s">
        <v>593</v>
      </c>
    </row>
    <row r="193" spans="1:4" x14ac:dyDescent="0.25">
      <c r="A193">
        <v>187</v>
      </c>
      <c r="B193" s="47" t="s">
        <v>597</v>
      </c>
      <c r="C193" s="1" t="s">
        <v>598</v>
      </c>
      <c r="D193" s="1" t="s">
        <v>596</v>
      </c>
    </row>
    <row r="194" spans="1:4" ht="15.75" thickBot="1" x14ac:dyDescent="0.3">
      <c r="A194">
        <v>188</v>
      </c>
      <c r="B194" s="1" t="s">
        <v>601</v>
      </c>
      <c r="C194" s="1" t="s">
        <v>600</v>
      </c>
      <c r="D194" s="1" t="s">
        <v>599</v>
      </c>
    </row>
    <row r="195" spans="1:4" ht="15.75" thickBot="1" x14ac:dyDescent="0.3">
      <c r="A195">
        <v>189</v>
      </c>
      <c r="B195" s="21" t="s">
        <v>558</v>
      </c>
      <c r="C195" s="1" t="s">
        <v>559</v>
      </c>
      <c r="D195" s="1" t="s">
        <v>557</v>
      </c>
    </row>
    <row r="196" spans="1:4" x14ac:dyDescent="0.25">
      <c r="A196">
        <v>190</v>
      </c>
      <c r="B196" s="5" t="s">
        <v>605</v>
      </c>
      <c r="C196" s="1" t="s">
        <v>553</v>
      </c>
      <c r="D196" s="1" t="s">
        <v>551</v>
      </c>
    </row>
    <row r="197" spans="1:4" x14ac:dyDescent="0.25">
      <c r="A197">
        <v>191</v>
      </c>
      <c r="B197" s="47" t="s">
        <v>554</v>
      </c>
      <c r="C197" s="1" t="s">
        <v>555</v>
      </c>
      <c r="D197" s="1" t="s">
        <v>556</v>
      </c>
    </row>
    <row r="198" spans="1:4" x14ac:dyDescent="0.25">
      <c r="A198">
        <v>192</v>
      </c>
      <c r="B198" s="1" t="s">
        <v>562</v>
      </c>
      <c r="C198" s="1" t="s">
        <v>561</v>
      </c>
      <c r="D198" s="1" t="s">
        <v>560</v>
      </c>
    </row>
    <row r="199" spans="1:4" x14ac:dyDescent="0.25">
      <c r="A199">
        <v>193</v>
      </c>
      <c r="B199" s="5" t="s">
        <v>1087</v>
      </c>
      <c r="C199" s="1" t="s">
        <v>1088</v>
      </c>
      <c r="D199" s="1" t="s">
        <v>1089</v>
      </c>
    </row>
    <row r="200" spans="1:4" x14ac:dyDescent="0.25">
      <c r="A200">
        <v>194</v>
      </c>
      <c r="B200" s="47" t="s">
        <v>1119</v>
      </c>
      <c r="C200" s="1" t="s">
        <v>1120</v>
      </c>
      <c r="D200" s="1" t="s">
        <v>1121</v>
      </c>
    </row>
    <row r="201" spans="1:4" x14ac:dyDescent="0.25">
      <c r="A201">
        <v>195</v>
      </c>
      <c r="B201" s="52" t="s">
        <v>1092</v>
      </c>
      <c r="C201" s="1" t="s">
        <v>1091</v>
      </c>
      <c r="D201" s="1" t="s">
        <v>1090</v>
      </c>
    </row>
    <row r="202" spans="1:4" x14ac:dyDescent="0.25">
      <c r="A202">
        <v>196</v>
      </c>
      <c r="B202" t="s">
        <v>1122</v>
      </c>
      <c r="C202" s="1" t="s">
        <v>1123</v>
      </c>
      <c r="D202" s="1" t="s">
        <v>1124</v>
      </c>
    </row>
    <row r="203" spans="1:4" x14ac:dyDescent="0.25">
      <c r="A203">
        <v>197</v>
      </c>
      <c r="B203" s="5" t="s">
        <v>1131</v>
      </c>
      <c r="C203" s="1" t="s">
        <v>1132</v>
      </c>
      <c r="D203" s="1" t="s">
        <v>1133</v>
      </c>
    </row>
    <row r="204" spans="1:4" x14ac:dyDescent="0.25">
      <c r="A204">
        <v>198</v>
      </c>
      <c r="B204" s="14" t="s">
        <v>1125</v>
      </c>
      <c r="C204" s="1" t="s">
        <v>1127</v>
      </c>
      <c r="D204" s="1" t="s">
        <v>1126</v>
      </c>
    </row>
    <row r="205" spans="1:4" x14ac:dyDescent="0.25">
      <c r="A205">
        <v>199</v>
      </c>
      <c r="B205" s="1" t="s">
        <v>619</v>
      </c>
      <c r="C205" s="1" t="s">
        <v>620</v>
      </c>
      <c r="D205" s="1" t="s">
        <v>618</v>
      </c>
    </row>
    <row r="206" spans="1:4" ht="15.75" thickBot="1" x14ac:dyDescent="0.3">
      <c r="A206">
        <v>200</v>
      </c>
      <c r="B206" s="1" t="s">
        <v>1128</v>
      </c>
      <c r="C206" s="76" t="s">
        <v>1129</v>
      </c>
      <c r="D206" s="1" t="s">
        <v>1130</v>
      </c>
    </row>
    <row r="207" spans="1:4" ht="15.75" thickBot="1" x14ac:dyDescent="0.3">
      <c r="A207">
        <v>201</v>
      </c>
      <c r="B207" s="21" t="s">
        <v>602</v>
      </c>
      <c r="C207" s="1" t="s">
        <v>603</v>
      </c>
      <c r="D207" s="1" t="s">
        <v>604</v>
      </c>
    </row>
    <row r="208" spans="1:4" x14ac:dyDescent="0.25">
      <c r="A208">
        <v>202</v>
      </c>
      <c r="B208" s="1" t="s">
        <v>622</v>
      </c>
      <c r="C208" s="1" t="s">
        <v>623</v>
      </c>
      <c r="D208" s="1" t="s">
        <v>621</v>
      </c>
    </row>
    <row r="209" spans="1:4" x14ac:dyDescent="0.25">
      <c r="A209">
        <v>203</v>
      </c>
      <c r="B209" s="5" t="s">
        <v>625</v>
      </c>
      <c r="C209" s="1" t="s">
        <v>626</v>
      </c>
      <c r="D209" s="1" t="s">
        <v>624</v>
      </c>
    </row>
    <row r="210" spans="1:4" x14ac:dyDescent="0.25">
      <c r="A210">
        <v>204</v>
      </c>
      <c r="B210" s="76" t="s">
        <v>628</v>
      </c>
      <c r="C210" s="1" t="s">
        <v>629</v>
      </c>
      <c r="D210" s="1" t="s">
        <v>627</v>
      </c>
    </row>
    <row r="211" spans="1:4" x14ac:dyDescent="0.25">
      <c r="A211">
        <v>205</v>
      </c>
      <c r="B211" s="13" t="s">
        <v>632</v>
      </c>
      <c r="C211" s="76" t="s">
        <v>631</v>
      </c>
      <c r="D211" s="1" t="s">
        <v>630</v>
      </c>
    </row>
    <row r="212" spans="1:4" ht="30" x14ac:dyDescent="0.25">
      <c r="A212">
        <v>206</v>
      </c>
      <c r="B212" s="47" t="s">
        <v>635</v>
      </c>
      <c r="C212" s="1" t="s">
        <v>634</v>
      </c>
      <c r="D212" s="1" t="s">
        <v>633</v>
      </c>
    </row>
    <row r="213" spans="1:4" x14ac:dyDescent="0.25">
      <c r="A213">
        <v>207</v>
      </c>
      <c r="B213" s="8" t="s">
        <v>637</v>
      </c>
      <c r="C213" s="1" t="s">
        <v>638</v>
      </c>
      <c r="D213" s="1" t="s">
        <v>636</v>
      </c>
    </row>
    <row r="214" spans="1:4" x14ac:dyDescent="0.25">
      <c r="A214">
        <v>208</v>
      </c>
      <c r="B214" s="6" t="s">
        <v>641</v>
      </c>
      <c r="C214" s="1" t="s">
        <v>640</v>
      </c>
      <c r="D214" s="1" t="s">
        <v>639</v>
      </c>
    </row>
    <row r="215" spans="1:4" x14ac:dyDescent="0.25">
      <c r="A215">
        <v>209</v>
      </c>
      <c r="B215" s="6" t="s">
        <v>643</v>
      </c>
      <c r="C215" s="1" t="s">
        <v>644</v>
      </c>
      <c r="D215" s="1" t="s">
        <v>642</v>
      </c>
    </row>
    <row r="216" spans="1:4" x14ac:dyDescent="0.25">
      <c r="A216">
        <v>210</v>
      </c>
      <c r="B216" s="6" t="s">
        <v>646</v>
      </c>
      <c r="C216" s="1" t="s">
        <v>647</v>
      </c>
      <c r="D216" s="1" t="s">
        <v>645</v>
      </c>
    </row>
    <row r="217" spans="1:4" x14ac:dyDescent="0.25">
      <c r="A217">
        <v>211</v>
      </c>
      <c r="B217" s="6" t="s">
        <v>649</v>
      </c>
      <c r="C217" s="1" t="s">
        <v>650</v>
      </c>
      <c r="D217" s="1" t="s">
        <v>648</v>
      </c>
    </row>
    <row r="218" spans="1:4" x14ac:dyDescent="0.25">
      <c r="A218">
        <v>212</v>
      </c>
      <c r="B218" s="1" t="s">
        <v>651</v>
      </c>
      <c r="C218" s="1" t="s">
        <v>652</v>
      </c>
      <c r="D218" s="1" t="s">
        <v>653</v>
      </c>
    </row>
    <row r="219" spans="1:4" x14ac:dyDescent="0.25">
      <c r="A219">
        <v>213</v>
      </c>
      <c r="B219" s="1" t="s">
        <v>656</v>
      </c>
      <c r="C219" s="76" t="s">
        <v>655</v>
      </c>
      <c r="D219" s="1" t="s">
        <v>654</v>
      </c>
    </row>
    <row r="220" spans="1:4" x14ac:dyDescent="0.25">
      <c r="A220">
        <v>214</v>
      </c>
      <c r="B220" s="47" t="s">
        <v>659</v>
      </c>
      <c r="C220" s="76" t="s">
        <v>658</v>
      </c>
      <c r="D220" s="1" t="s">
        <v>657</v>
      </c>
    </row>
    <row r="221" spans="1:4" x14ac:dyDescent="0.25">
      <c r="A221">
        <v>215</v>
      </c>
      <c r="B221" s="1" t="s">
        <v>661</v>
      </c>
      <c r="C221" s="1" t="s">
        <v>662</v>
      </c>
      <c r="D221" s="1" t="s">
        <v>660</v>
      </c>
    </row>
    <row r="222" spans="1:4" x14ac:dyDescent="0.25">
      <c r="A222">
        <v>216</v>
      </c>
      <c r="B222" s="76" t="s">
        <v>663</v>
      </c>
      <c r="C222" s="76" t="s">
        <v>664</v>
      </c>
      <c r="D222" s="1" t="s">
        <v>665</v>
      </c>
    </row>
    <row r="223" spans="1:4" x14ac:dyDescent="0.25">
      <c r="A223">
        <v>217</v>
      </c>
      <c r="B223" s="1" t="s">
        <v>668</v>
      </c>
      <c r="C223" s="1" t="s">
        <v>667</v>
      </c>
      <c r="D223" s="1" t="s">
        <v>666</v>
      </c>
    </row>
    <row r="224" spans="1:4" x14ac:dyDescent="0.25">
      <c r="A224">
        <v>218</v>
      </c>
      <c r="B224" s="1" t="s">
        <v>670</v>
      </c>
      <c r="C224" s="1" t="s">
        <v>671</v>
      </c>
      <c r="D224" s="1" t="s">
        <v>669</v>
      </c>
    </row>
    <row r="225" spans="1:4" x14ac:dyDescent="0.25">
      <c r="A225">
        <v>219</v>
      </c>
      <c r="B225" s="1" t="s">
        <v>674</v>
      </c>
      <c r="C225" s="1" t="s">
        <v>673</v>
      </c>
      <c r="D225" s="1" t="s">
        <v>672</v>
      </c>
    </row>
    <row r="226" spans="1:4" x14ac:dyDescent="0.25">
      <c r="A226">
        <v>220</v>
      </c>
      <c r="B226" s="1" t="s">
        <v>678</v>
      </c>
      <c r="C226" s="1" t="s">
        <v>679</v>
      </c>
      <c r="D226" s="1" t="s">
        <v>680</v>
      </c>
    </row>
    <row r="227" spans="1:4" x14ac:dyDescent="0.25">
      <c r="A227">
        <v>221</v>
      </c>
      <c r="B227" s="1" t="s">
        <v>683</v>
      </c>
      <c r="C227" s="1" t="s">
        <v>682</v>
      </c>
      <c r="D227" s="1" t="s">
        <v>681</v>
      </c>
    </row>
    <row r="228" spans="1:4" x14ac:dyDescent="0.25">
      <c r="A228">
        <v>222</v>
      </c>
      <c r="B228" s="1" t="s">
        <v>676</v>
      </c>
      <c r="C228" s="1" t="s">
        <v>677</v>
      </c>
      <c r="D228" s="1" t="s">
        <v>675</v>
      </c>
    </row>
    <row r="229" spans="1:4" x14ac:dyDescent="0.25">
      <c r="A229">
        <v>223</v>
      </c>
      <c r="B229" s="1" t="s">
        <v>790</v>
      </c>
      <c r="C229" s="1" t="s">
        <v>794</v>
      </c>
      <c r="D229" s="1" t="s">
        <v>795</v>
      </c>
    </row>
    <row r="230" spans="1:4" x14ac:dyDescent="0.25">
      <c r="A230">
        <v>224</v>
      </c>
      <c r="B230" s="1" t="s">
        <v>840</v>
      </c>
      <c r="C230" s="1" t="s">
        <v>841</v>
      </c>
      <c r="D230" s="1" t="s">
        <v>842</v>
      </c>
    </row>
    <row r="231" spans="1:4" x14ac:dyDescent="0.25">
      <c r="A231">
        <v>225</v>
      </c>
      <c r="B231" s="1" t="s">
        <v>791</v>
      </c>
      <c r="C231" s="1" t="s">
        <v>792</v>
      </c>
      <c r="D231" s="1" t="s">
        <v>793</v>
      </c>
    </row>
    <row r="232" spans="1:4" x14ac:dyDescent="0.25">
      <c r="A232">
        <v>226</v>
      </c>
      <c r="B232" s="1" t="s">
        <v>796</v>
      </c>
      <c r="C232" s="1" t="s">
        <v>797</v>
      </c>
      <c r="D232" s="1" t="s">
        <v>798</v>
      </c>
    </row>
    <row r="233" spans="1:4" x14ac:dyDescent="0.25">
      <c r="A233">
        <v>227</v>
      </c>
      <c r="B233" s="1" t="s">
        <v>685</v>
      </c>
      <c r="C233" s="1" t="s">
        <v>686</v>
      </c>
      <c r="D233" s="1" t="s">
        <v>684</v>
      </c>
    </row>
    <row r="234" spans="1:4" x14ac:dyDescent="0.25">
      <c r="A234">
        <v>228</v>
      </c>
      <c r="B234" s="1" t="s">
        <v>688</v>
      </c>
      <c r="C234" s="1" t="s">
        <v>689</v>
      </c>
      <c r="D234" s="1" t="s">
        <v>687</v>
      </c>
    </row>
    <row r="235" spans="1:4" x14ac:dyDescent="0.25">
      <c r="A235">
        <v>229</v>
      </c>
      <c r="B235" s="1" t="s">
        <v>691</v>
      </c>
      <c r="C235" s="1" t="s">
        <v>692</v>
      </c>
      <c r="D235" s="1" t="s">
        <v>690</v>
      </c>
    </row>
    <row r="236" spans="1:4" x14ac:dyDescent="0.25">
      <c r="A236">
        <v>230</v>
      </c>
      <c r="B236" s="1" t="s">
        <v>693</v>
      </c>
      <c r="C236" s="1" t="s">
        <v>694</v>
      </c>
      <c r="D236" s="1" t="s">
        <v>695</v>
      </c>
    </row>
    <row r="237" spans="1:4" x14ac:dyDescent="0.25">
      <c r="A237">
        <v>231</v>
      </c>
      <c r="B237" s="1" t="s">
        <v>697</v>
      </c>
      <c r="C237" s="1" t="s">
        <v>698</v>
      </c>
      <c r="D237" s="1" t="s">
        <v>696</v>
      </c>
    </row>
    <row r="238" spans="1:4" x14ac:dyDescent="0.25">
      <c r="A238">
        <v>232</v>
      </c>
      <c r="B238" s="1" t="s">
        <v>706</v>
      </c>
      <c r="C238" s="1" t="s">
        <v>707</v>
      </c>
      <c r="D238" s="1" t="s">
        <v>699</v>
      </c>
    </row>
    <row r="239" spans="1:4" x14ac:dyDescent="0.25">
      <c r="A239">
        <v>233</v>
      </c>
      <c r="B239" s="6" t="s">
        <v>702</v>
      </c>
      <c r="C239" s="1" t="s">
        <v>703</v>
      </c>
      <c r="D239" s="1" t="s">
        <v>700</v>
      </c>
    </row>
    <row r="240" spans="1:4" x14ac:dyDescent="0.25">
      <c r="A240">
        <v>234</v>
      </c>
      <c r="B240" s="6" t="s">
        <v>704</v>
      </c>
      <c r="C240" s="1" t="s">
        <v>705</v>
      </c>
      <c r="D240" s="1" t="s">
        <v>701</v>
      </c>
    </row>
    <row r="241" spans="1:4" x14ac:dyDescent="0.25">
      <c r="A241">
        <v>235</v>
      </c>
      <c r="B241" s="6" t="s">
        <v>702</v>
      </c>
      <c r="C241" s="1" t="s">
        <v>703</v>
      </c>
      <c r="D241" s="1" t="s">
        <v>700</v>
      </c>
    </row>
    <row r="242" spans="1:4" x14ac:dyDescent="0.25">
      <c r="A242">
        <v>236</v>
      </c>
      <c r="B242" s="1" t="s">
        <v>709</v>
      </c>
      <c r="C242" s="76" t="s">
        <v>710</v>
      </c>
      <c r="D242" s="1" t="s">
        <v>708</v>
      </c>
    </row>
    <row r="243" spans="1:4" x14ac:dyDescent="0.25">
      <c r="A243">
        <v>237</v>
      </c>
      <c r="B243" s="1" t="s">
        <v>711</v>
      </c>
      <c r="C243" s="1" t="s">
        <v>707</v>
      </c>
      <c r="D243" s="1" t="s">
        <v>699</v>
      </c>
    </row>
    <row r="244" spans="1:4" x14ac:dyDescent="0.25">
      <c r="A244">
        <v>238</v>
      </c>
      <c r="B244" s="47" t="s">
        <v>714</v>
      </c>
      <c r="C244" s="76" t="s">
        <v>713</v>
      </c>
      <c r="D244" s="1" t="s">
        <v>712</v>
      </c>
    </row>
    <row r="245" spans="1:4" x14ac:dyDescent="0.25">
      <c r="A245">
        <v>239</v>
      </c>
      <c r="B245" s="1" t="s">
        <v>716</v>
      </c>
      <c r="C245" s="1" t="s">
        <v>717</v>
      </c>
      <c r="D245" s="1" t="s">
        <v>715</v>
      </c>
    </row>
    <row r="246" spans="1:4" x14ac:dyDescent="0.25">
      <c r="A246">
        <v>240</v>
      </c>
      <c r="B246" s="47" t="s">
        <v>719</v>
      </c>
      <c r="C246" s="76" t="s">
        <v>720</v>
      </c>
      <c r="D246" s="1" t="s">
        <v>718</v>
      </c>
    </row>
    <row r="247" spans="1:4" x14ac:dyDescent="0.25">
      <c r="A247">
        <v>241</v>
      </c>
      <c r="B247" s="1" t="s">
        <v>722</v>
      </c>
      <c r="C247" s="1" t="s">
        <v>723</v>
      </c>
      <c r="D247" s="1" t="s">
        <v>721</v>
      </c>
    </row>
    <row r="248" spans="1:4" x14ac:dyDescent="0.25">
      <c r="A248">
        <v>242</v>
      </c>
      <c r="B248" s="47" t="s">
        <v>728</v>
      </c>
      <c r="C248" s="1" t="s">
        <v>729</v>
      </c>
      <c r="D248" s="1" t="s">
        <v>727</v>
      </c>
    </row>
    <row r="249" spans="1:4" x14ac:dyDescent="0.25">
      <c r="A249">
        <v>243</v>
      </c>
      <c r="B249" s="1" t="s">
        <v>725</v>
      </c>
      <c r="C249" s="1" t="s">
        <v>726</v>
      </c>
      <c r="D249" s="1" t="s">
        <v>724</v>
      </c>
    </row>
    <row r="250" spans="1:4" x14ac:dyDescent="0.25">
      <c r="A250">
        <v>244</v>
      </c>
      <c r="B250" s="1" t="s">
        <v>855</v>
      </c>
      <c r="C250" s="1" t="s">
        <v>856</v>
      </c>
      <c r="D250" s="1" t="s">
        <v>857</v>
      </c>
    </row>
    <row r="251" spans="1:4" x14ac:dyDescent="0.25">
      <c r="A251">
        <v>245</v>
      </c>
      <c r="B251" s="1" t="s">
        <v>731</v>
      </c>
      <c r="C251" s="1" t="s">
        <v>732</v>
      </c>
      <c r="D251" s="1" t="s">
        <v>730</v>
      </c>
    </row>
    <row r="252" spans="1:4" x14ac:dyDescent="0.25">
      <c r="A252">
        <v>246</v>
      </c>
      <c r="B252" s="1" t="s">
        <v>858</v>
      </c>
      <c r="C252" s="1" t="s">
        <v>859</v>
      </c>
      <c r="D252" s="1" t="s">
        <v>860</v>
      </c>
    </row>
    <row r="253" spans="1:4" x14ac:dyDescent="0.25">
      <c r="A253">
        <v>247</v>
      </c>
      <c r="B253" s="1" t="s">
        <v>1079</v>
      </c>
      <c r="C253" s="1" t="s">
        <v>1081</v>
      </c>
      <c r="D253" s="1" t="s">
        <v>1080</v>
      </c>
    </row>
    <row r="254" spans="1:4" x14ac:dyDescent="0.25">
      <c r="A254">
        <v>248</v>
      </c>
      <c r="B254" s="1" t="s">
        <v>861</v>
      </c>
      <c r="C254" s="1" t="s">
        <v>862</v>
      </c>
      <c r="D254" s="1" t="s">
        <v>863</v>
      </c>
    </row>
    <row r="255" spans="1:4" x14ac:dyDescent="0.25">
      <c r="A255">
        <v>249</v>
      </c>
      <c r="B255" s="1" t="s">
        <v>1076</v>
      </c>
      <c r="C255" s="1" t="s">
        <v>1077</v>
      </c>
      <c r="D255" s="1" t="s">
        <v>1078</v>
      </c>
    </row>
    <row r="256" spans="1:4" x14ac:dyDescent="0.25">
      <c r="A256">
        <v>250</v>
      </c>
      <c r="B256" s="1" t="s">
        <v>864</v>
      </c>
      <c r="C256" s="1" t="s">
        <v>865</v>
      </c>
      <c r="D256" s="1" t="s">
        <v>866</v>
      </c>
    </row>
    <row r="257" spans="1:4" x14ac:dyDescent="0.25">
      <c r="A257">
        <v>251</v>
      </c>
      <c r="B257" s="1" t="s">
        <v>1073</v>
      </c>
      <c r="C257" s="1" t="s">
        <v>1074</v>
      </c>
      <c r="D257" s="1" t="s">
        <v>1075</v>
      </c>
    </row>
    <row r="258" spans="1:4" x14ac:dyDescent="0.25">
      <c r="A258">
        <v>252</v>
      </c>
      <c r="B258" s="1" t="s">
        <v>867</v>
      </c>
      <c r="C258" s="1" t="s">
        <v>868</v>
      </c>
      <c r="D258" s="1" t="s">
        <v>869</v>
      </c>
    </row>
    <row r="259" spans="1:4" x14ac:dyDescent="0.25">
      <c r="A259">
        <v>253</v>
      </c>
      <c r="B259" s="1" t="s">
        <v>1070</v>
      </c>
      <c r="C259" s="1" t="s">
        <v>1072</v>
      </c>
      <c r="D259" s="1" t="s">
        <v>1071</v>
      </c>
    </row>
    <row r="260" spans="1:4" x14ac:dyDescent="0.25">
      <c r="A260">
        <v>254</v>
      </c>
      <c r="B260" s="1" t="s">
        <v>870</v>
      </c>
      <c r="C260" s="1" t="s">
        <v>871</v>
      </c>
      <c r="D260" s="1" t="s">
        <v>872</v>
      </c>
    </row>
    <row r="261" spans="1:4" x14ac:dyDescent="0.25">
      <c r="A261">
        <v>255</v>
      </c>
      <c r="B261" s="2" t="s">
        <v>1067</v>
      </c>
      <c r="C261" s="1" t="s">
        <v>1068</v>
      </c>
      <c r="D261" s="1" t="s">
        <v>1069</v>
      </c>
    </row>
    <row r="262" spans="1:4" x14ac:dyDescent="0.25">
      <c r="A262">
        <v>256</v>
      </c>
      <c r="B262" s="1" t="s">
        <v>873</v>
      </c>
      <c r="C262" s="1" t="s">
        <v>874</v>
      </c>
      <c r="D262" s="1" t="s">
        <v>875</v>
      </c>
    </row>
    <row r="263" spans="1:4" x14ac:dyDescent="0.25">
      <c r="A263">
        <v>257</v>
      </c>
      <c r="B263" s="1" t="s">
        <v>1064</v>
      </c>
      <c r="C263" s="1" t="s">
        <v>1066</v>
      </c>
      <c r="D263" s="1" t="s">
        <v>1065</v>
      </c>
    </row>
    <row r="264" spans="1:4" x14ac:dyDescent="0.25">
      <c r="A264">
        <v>258</v>
      </c>
      <c r="B264" s="1" t="s">
        <v>876</v>
      </c>
      <c r="C264" s="1" t="s">
        <v>877</v>
      </c>
      <c r="D264" s="1" t="s">
        <v>878</v>
      </c>
    </row>
    <row r="265" spans="1:4" x14ac:dyDescent="0.25">
      <c r="A265">
        <v>259</v>
      </c>
      <c r="B265" s="1" t="s">
        <v>1061</v>
      </c>
      <c r="C265" s="1" t="s">
        <v>1062</v>
      </c>
      <c r="D265" s="1" t="s">
        <v>1063</v>
      </c>
    </row>
    <row r="266" spans="1:4" x14ac:dyDescent="0.25">
      <c r="A266">
        <v>260</v>
      </c>
      <c r="B266" s="1" t="s">
        <v>879</v>
      </c>
      <c r="C266" s="1" t="s">
        <v>880</v>
      </c>
      <c r="D266" s="1" t="s">
        <v>881</v>
      </c>
    </row>
    <row r="267" spans="1:4" x14ac:dyDescent="0.25">
      <c r="A267">
        <v>261</v>
      </c>
      <c r="B267" s="1" t="s">
        <v>1058</v>
      </c>
      <c r="C267" s="1" t="s">
        <v>1060</v>
      </c>
      <c r="D267" s="1" t="s">
        <v>1059</v>
      </c>
    </row>
    <row r="268" spans="1:4" x14ac:dyDescent="0.25">
      <c r="A268">
        <v>262</v>
      </c>
      <c r="B268" s="1" t="s">
        <v>882</v>
      </c>
      <c r="C268" s="1" t="s">
        <v>883</v>
      </c>
      <c r="D268" s="1" t="s">
        <v>884</v>
      </c>
    </row>
    <row r="269" spans="1:4" x14ac:dyDescent="0.25">
      <c r="A269">
        <v>263</v>
      </c>
      <c r="B269" s="1" t="s">
        <v>1055</v>
      </c>
      <c r="C269" s="1" t="s">
        <v>1056</v>
      </c>
      <c r="D269" s="1" t="s">
        <v>1057</v>
      </c>
    </row>
    <row r="270" spans="1:4" x14ac:dyDescent="0.25">
      <c r="A270">
        <v>264</v>
      </c>
      <c r="B270" s="1" t="s">
        <v>885</v>
      </c>
      <c r="C270" s="1" t="s">
        <v>886</v>
      </c>
      <c r="D270" s="1" t="s">
        <v>887</v>
      </c>
    </row>
    <row r="271" spans="1:4" x14ac:dyDescent="0.25">
      <c r="A271">
        <v>265</v>
      </c>
      <c r="B271" s="1" t="s">
        <v>1052</v>
      </c>
      <c r="C271" s="1" t="s">
        <v>1054</v>
      </c>
      <c r="D271" s="1" t="s">
        <v>1053</v>
      </c>
    </row>
    <row r="272" spans="1:4" x14ac:dyDescent="0.25">
      <c r="A272">
        <v>266</v>
      </c>
      <c r="B272" s="1" t="s">
        <v>888</v>
      </c>
      <c r="C272" s="1" t="s">
        <v>889</v>
      </c>
      <c r="D272" s="1" t="s">
        <v>890</v>
      </c>
    </row>
    <row r="273" spans="1:10" x14ac:dyDescent="0.25">
      <c r="A273">
        <v>267</v>
      </c>
      <c r="B273" s="1" t="s">
        <v>1049</v>
      </c>
      <c r="C273" s="1" t="s">
        <v>1051</v>
      </c>
      <c r="D273" s="1" t="s">
        <v>1050</v>
      </c>
    </row>
    <row r="274" spans="1:10" x14ac:dyDescent="0.25">
      <c r="A274">
        <v>268</v>
      </c>
      <c r="B274" s="1" t="s">
        <v>891</v>
      </c>
      <c r="C274" s="1" t="s">
        <v>892</v>
      </c>
      <c r="D274" s="1" t="s">
        <v>893</v>
      </c>
    </row>
    <row r="275" spans="1:10" x14ac:dyDescent="0.25">
      <c r="A275">
        <v>269</v>
      </c>
      <c r="B275" s="1" t="s">
        <v>1046</v>
      </c>
      <c r="C275" s="1" t="s">
        <v>1048</v>
      </c>
      <c r="D275" s="1" t="s">
        <v>1047</v>
      </c>
    </row>
    <row r="276" spans="1:10" x14ac:dyDescent="0.25">
      <c r="A276">
        <v>270</v>
      </c>
      <c r="B276" s="1" t="s">
        <v>894</v>
      </c>
      <c r="C276" s="1" t="s">
        <v>895</v>
      </c>
      <c r="D276" s="1" t="s">
        <v>896</v>
      </c>
    </row>
    <row r="277" spans="1:10" x14ac:dyDescent="0.25">
      <c r="A277">
        <v>271</v>
      </c>
      <c r="B277" s="1" t="s">
        <v>1043</v>
      </c>
      <c r="C277" s="1" t="s">
        <v>1045</v>
      </c>
      <c r="D277" s="1" t="s">
        <v>1044</v>
      </c>
    </row>
    <row r="278" spans="1:10" x14ac:dyDescent="0.25">
      <c r="A278">
        <v>272</v>
      </c>
      <c r="B278" s="1" t="s">
        <v>897</v>
      </c>
      <c r="C278" s="1" t="s">
        <v>898</v>
      </c>
      <c r="D278" s="1" t="s">
        <v>899</v>
      </c>
    </row>
    <row r="279" spans="1:10" x14ac:dyDescent="0.25">
      <c r="A279">
        <v>273</v>
      </c>
      <c r="B279" s="1" t="s">
        <v>900</v>
      </c>
      <c r="C279" s="1" t="s">
        <v>901</v>
      </c>
      <c r="D279" s="1" t="s">
        <v>902</v>
      </c>
    </row>
    <row r="280" spans="1:10" x14ac:dyDescent="0.25">
      <c r="A280">
        <v>274</v>
      </c>
      <c r="B280" s="1" t="s">
        <v>903</v>
      </c>
      <c r="C280" s="1" t="s">
        <v>904</v>
      </c>
      <c r="D280" s="1" t="s">
        <v>905</v>
      </c>
    </row>
    <row r="281" spans="1:10" x14ac:dyDescent="0.25">
      <c r="A281">
        <v>275</v>
      </c>
      <c r="B281" s="1" t="s">
        <v>906</v>
      </c>
      <c r="C281" s="1" t="s">
        <v>907</v>
      </c>
      <c r="D281" s="1" t="s">
        <v>908</v>
      </c>
    </row>
    <row r="282" spans="1:10" x14ac:dyDescent="0.25">
      <c r="A282">
        <v>276</v>
      </c>
      <c r="B282" s="1" t="s">
        <v>909</v>
      </c>
      <c r="C282" s="1" t="s">
        <v>910</v>
      </c>
      <c r="D282" s="1" t="s">
        <v>911</v>
      </c>
    </row>
    <row r="283" spans="1:10" x14ac:dyDescent="0.25">
      <c r="A283">
        <v>277</v>
      </c>
      <c r="B283" s="1" t="s">
        <v>912</v>
      </c>
      <c r="C283" s="1" t="s">
        <v>913</v>
      </c>
      <c r="D283" s="1" t="s">
        <v>914</v>
      </c>
      <c r="J283" s="87" t="s">
        <v>854</v>
      </c>
    </row>
    <row r="284" spans="1:10" x14ac:dyDescent="0.25">
      <c r="A284">
        <v>278</v>
      </c>
      <c r="B284" s="1" t="s">
        <v>915</v>
      </c>
      <c r="C284" s="1" t="s">
        <v>916</v>
      </c>
      <c r="D284" s="1" t="s">
        <v>917</v>
      </c>
    </row>
    <row r="285" spans="1:10" x14ac:dyDescent="0.25">
      <c r="A285">
        <v>279</v>
      </c>
      <c r="B285" s="1" t="s">
        <v>918</v>
      </c>
      <c r="C285" s="1" t="s">
        <v>919</v>
      </c>
      <c r="D285" s="1" t="s">
        <v>920</v>
      </c>
    </row>
    <row r="286" spans="1:10" x14ac:dyDescent="0.25">
      <c r="A286">
        <v>280</v>
      </c>
      <c r="B286" s="1" t="s">
        <v>921</v>
      </c>
      <c r="C286" s="1" t="s">
        <v>922</v>
      </c>
      <c r="D286" s="1" t="s">
        <v>923</v>
      </c>
    </row>
    <row r="287" spans="1:10" x14ac:dyDescent="0.25">
      <c r="A287">
        <v>281</v>
      </c>
      <c r="B287" s="1" t="s">
        <v>924</v>
      </c>
      <c r="C287" s="1" t="s">
        <v>925</v>
      </c>
      <c r="D287" s="1" t="s">
        <v>926</v>
      </c>
    </row>
    <row r="288" spans="1:10" x14ac:dyDescent="0.25">
      <c r="A288">
        <v>282</v>
      </c>
      <c r="B288" s="1" t="s">
        <v>927</v>
      </c>
      <c r="C288" s="1" t="s">
        <v>928</v>
      </c>
      <c r="D288" s="1" t="s">
        <v>929</v>
      </c>
    </row>
    <row r="289" spans="1:4" x14ac:dyDescent="0.25">
      <c r="A289">
        <v>283</v>
      </c>
      <c r="B289" s="1" t="s">
        <v>930</v>
      </c>
      <c r="C289" s="1" t="s">
        <v>931</v>
      </c>
      <c r="D289" s="1" t="s">
        <v>932</v>
      </c>
    </row>
    <row r="290" spans="1:4" x14ac:dyDescent="0.25">
      <c r="A290">
        <v>284</v>
      </c>
      <c r="B290" s="1" t="s">
        <v>933</v>
      </c>
      <c r="C290" s="1" t="s">
        <v>934</v>
      </c>
      <c r="D290" s="1" t="s">
        <v>935</v>
      </c>
    </row>
    <row r="291" spans="1:4" x14ac:dyDescent="0.25">
      <c r="A291">
        <v>285</v>
      </c>
      <c r="B291" s="1" t="s">
        <v>915</v>
      </c>
      <c r="C291" s="1" t="s">
        <v>916</v>
      </c>
      <c r="D291" s="1" t="s">
        <v>917</v>
      </c>
    </row>
    <row r="292" spans="1:4" x14ac:dyDescent="0.25">
      <c r="A292">
        <v>286</v>
      </c>
      <c r="B292" s="1" t="s">
        <v>936</v>
      </c>
      <c r="C292" s="1" t="s">
        <v>937</v>
      </c>
      <c r="D292" s="1" t="s">
        <v>938</v>
      </c>
    </row>
    <row r="293" spans="1:4" x14ac:dyDescent="0.25">
      <c r="A293">
        <v>287</v>
      </c>
      <c r="B293" s="6" t="s">
        <v>704</v>
      </c>
      <c r="C293" s="1" t="s">
        <v>705</v>
      </c>
      <c r="D293" s="1" t="s">
        <v>701</v>
      </c>
    </row>
    <row r="294" spans="1:4" x14ac:dyDescent="0.25">
      <c r="A294">
        <v>288</v>
      </c>
      <c r="B294" s="6" t="s">
        <v>734</v>
      </c>
      <c r="C294" s="1" t="s">
        <v>735</v>
      </c>
      <c r="D294" s="1" t="s">
        <v>733</v>
      </c>
    </row>
    <row r="295" spans="1:4" x14ac:dyDescent="0.25">
      <c r="A295">
        <v>289</v>
      </c>
      <c r="B295" s="5" t="s">
        <v>737</v>
      </c>
      <c r="C295" s="1" t="s">
        <v>738</v>
      </c>
      <c r="D295" s="1" t="s">
        <v>736</v>
      </c>
    </row>
    <row r="296" spans="1:4" x14ac:dyDescent="0.25">
      <c r="A296">
        <v>290</v>
      </c>
      <c r="B296" s="1" t="s">
        <v>740</v>
      </c>
      <c r="C296" s="1" t="s">
        <v>741</v>
      </c>
      <c r="D296" s="1" t="s">
        <v>739</v>
      </c>
    </row>
    <row r="297" spans="1:4" x14ac:dyDescent="0.25">
      <c r="A297">
        <v>291</v>
      </c>
      <c r="B297" s="47" t="s">
        <v>743</v>
      </c>
      <c r="C297" s="1" t="s">
        <v>744</v>
      </c>
      <c r="D297" s="1" t="s">
        <v>742</v>
      </c>
    </row>
    <row r="298" spans="1:4" x14ac:dyDescent="0.25">
      <c r="A298">
        <v>292</v>
      </c>
      <c r="B298" s="1" t="s">
        <v>746</v>
      </c>
      <c r="C298" s="1" t="s">
        <v>747</v>
      </c>
      <c r="D298" s="1" t="s">
        <v>745</v>
      </c>
    </row>
    <row r="299" spans="1:4" x14ac:dyDescent="0.25">
      <c r="A299">
        <v>293</v>
      </c>
      <c r="B299" s="47" t="s">
        <v>843</v>
      </c>
      <c r="C299" s="1" t="s">
        <v>844</v>
      </c>
      <c r="D299" s="1" t="s">
        <v>845</v>
      </c>
    </row>
    <row r="300" spans="1:4" x14ac:dyDescent="0.25">
      <c r="A300">
        <v>294</v>
      </c>
      <c r="B300" s="52" t="s">
        <v>846</v>
      </c>
      <c r="C300" s="1" t="s">
        <v>847</v>
      </c>
      <c r="D300" s="1" t="s">
        <v>848</v>
      </c>
    </row>
    <row r="301" spans="1:4" x14ac:dyDescent="0.25">
      <c r="A301">
        <v>295</v>
      </c>
      <c r="B301" s="47" t="s">
        <v>749</v>
      </c>
      <c r="C301" s="1" t="s">
        <v>750</v>
      </c>
      <c r="D301" s="1" t="s">
        <v>748</v>
      </c>
    </row>
    <row r="302" spans="1:4" x14ac:dyDescent="0.25">
      <c r="A302">
        <v>296</v>
      </c>
      <c r="B302" s="1" t="s">
        <v>752</v>
      </c>
      <c r="C302" s="1" t="s">
        <v>753</v>
      </c>
      <c r="D302" s="1" t="s">
        <v>751</v>
      </c>
    </row>
    <row r="303" spans="1:4" x14ac:dyDescent="0.25">
      <c r="A303">
        <v>297</v>
      </c>
      <c r="B303" s="5" t="s">
        <v>755</v>
      </c>
      <c r="C303" s="1" t="s">
        <v>756</v>
      </c>
      <c r="D303" s="1" t="s">
        <v>754</v>
      </c>
    </row>
    <row r="304" spans="1:4" x14ac:dyDescent="0.25">
      <c r="A304">
        <v>298</v>
      </c>
      <c r="B304" s="47" t="s">
        <v>758</v>
      </c>
      <c r="C304" s="1" t="s">
        <v>759</v>
      </c>
      <c r="D304" s="1" t="s">
        <v>757</v>
      </c>
    </row>
    <row r="305" spans="1:4" x14ac:dyDescent="0.25">
      <c r="A305">
        <v>299</v>
      </c>
      <c r="B305" s="1" t="s">
        <v>811</v>
      </c>
      <c r="C305" s="1" t="s">
        <v>812</v>
      </c>
      <c r="D305" s="1" t="s">
        <v>813</v>
      </c>
    </row>
    <row r="306" spans="1:4" x14ac:dyDescent="0.25">
      <c r="A306">
        <v>300</v>
      </c>
      <c r="B306" s="1" t="s">
        <v>761</v>
      </c>
      <c r="C306" s="1" t="s">
        <v>762</v>
      </c>
      <c r="D306" s="1" t="s">
        <v>760</v>
      </c>
    </row>
    <row r="307" spans="1:4" x14ac:dyDescent="0.25">
      <c r="A307">
        <v>301</v>
      </c>
      <c r="B307" s="5" t="s">
        <v>764</v>
      </c>
      <c r="C307" s="1" t="s">
        <v>765</v>
      </c>
      <c r="D307" s="1" t="s">
        <v>763</v>
      </c>
    </row>
    <row r="308" spans="1:4" x14ac:dyDescent="0.25">
      <c r="A308">
        <v>302</v>
      </c>
      <c r="B308" s="47" t="s">
        <v>767</v>
      </c>
      <c r="C308" s="1" t="s">
        <v>768</v>
      </c>
      <c r="D308" s="1" t="s">
        <v>766</v>
      </c>
    </row>
    <row r="309" spans="1:4" x14ac:dyDescent="0.25">
      <c r="A309">
        <v>303</v>
      </c>
      <c r="B309" s="1" t="s">
        <v>770</v>
      </c>
      <c r="C309" s="1" t="s">
        <v>771</v>
      </c>
      <c r="D309" s="1" t="s">
        <v>769</v>
      </c>
    </row>
    <row r="310" spans="1:4" x14ac:dyDescent="0.25">
      <c r="A310">
        <v>304</v>
      </c>
      <c r="B310" s="1" t="s">
        <v>773</v>
      </c>
      <c r="C310" s="1" t="s">
        <v>774</v>
      </c>
      <c r="D310" s="1" t="s">
        <v>772</v>
      </c>
    </row>
    <row r="311" spans="1:4" x14ac:dyDescent="0.25">
      <c r="A311">
        <v>305</v>
      </c>
      <c r="B311" s="6" t="s">
        <v>776</v>
      </c>
      <c r="C311" s="1" t="s">
        <v>777</v>
      </c>
      <c r="D311" s="1" t="s">
        <v>775</v>
      </c>
    </row>
    <row r="312" spans="1:4" x14ac:dyDescent="0.25">
      <c r="A312">
        <v>306</v>
      </c>
      <c r="B312" s="47" t="s">
        <v>779</v>
      </c>
      <c r="C312" s="1" t="s">
        <v>780</v>
      </c>
      <c r="D312" s="1" t="s">
        <v>778</v>
      </c>
    </row>
    <row r="313" spans="1:4" x14ac:dyDescent="0.25">
      <c r="A313">
        <v>307</v>
      </c>
      <c r="B313" s="1" t="s">
        <v>782</v>
      </c>
      <c r="C313" s="1" t="s">
        <v>783</v>
      </c>
      <c r="D313" s="1" t="s">
        <v>781</v>
      </c>
    </row>
    <row r="314" spans="1:4" x14ac:dyDescent="0.25">
      <c r="A314">
        <v>308</v>
      </c>
      <c r="B314" s="1" t="s">
        <v>343</v>
      </c>
      <c r="C314" s="1" t="s">
        <v>344</v>
      </c>
      <c r="D314" s="1" t="s">
        <v>342</v>
      </c>
    </row>
    <row r="315" spans="1:4" x14ac:dyDescent="0.25">
      <c r="A315">
        <v>309</v>
      </c>
      <c r="B315" s="1" t="s">
        <v>785</v>
      </c>
      <c r="C315" s="1" t="s">
        <v>786</v>
      </c>
      <c r="D315" s="1" t="s">
        <v>784</v>
      </c>
    </row>
    <row r="316" spans="1:4" x14ac:dyDescent="0.25">
      <c r="A316">
        <v>310</v>
      </c>
      <c r="B316" s="5" t="s">
        <v>814</v>
      </c>
      <c r="C316" s="1" t="s">
        <v>815</v>
      </c>
      <c r="D316" s="1" t="s">
        <v>816</v>
      </c>
    </row>
    <row r="317" spans="1:4" x14ac:dyDescent="0.25">
      <c r="A317">
        <v>311</v>
      </c>
      <c r="B317" s="47" t="s">
        <v>788</v>
      </c>
      <c r="C317" s="1" t="s">
        <v>789</v>
      </c>
      <c r="D317" s="1" t="s">
        <v>787</v>
      </c>
    </row>
    <row r="318" spans="1:4" x14ac:dyDescent="0.25">
      <c r="A318">
        <v>312</v>
      </c>
      <c r="B318" s="1" t="s">
        <v>817</v>
      </c>
      <c r="C318" s="1" t="s">
        <v>818</v>
      </c>
      <c r="D318" s="1" t="s">
        <v>819</v>
      </c>
    </row>
    <row r="319" spans="1:4" x14ac:dyDescent="0.25">
      <c r="A319">
        <v>313</v>
      </c>
      <c r="B319" s="1" t="s">
        <v>820</v>
      </c>
      <c r="C319" s="1" t="s">
        <v>821</v>
      </c>
      <c r="D319" s="1" t="s">
        <v>822</v>
      </c>
    </row>
    <row r="320" spans="1:4" x14ac:dyDescent="0.25">
      <c r="A320">
        <v>314</v>
      </c>
      <c r="B320" s="76" t="s">
        <v>1038</v>
      </c>
      <c r="C320" s="1" t="s">
        <v>1039</v>
      </c>
      <c r="D320" s="1" t="s">
        <v>939</v>
      </c>
    </row>
    <row r="321" spans="1:4" x14ac:dyDescent="0.25">
      <c r="A321">
        <v>315</v>
      </c>
      <c r="B321" s="1" t="s">
        <v>1037</v>
      </c>
      <c r="C321" s="1" t="s">
        <v>944</v>
      </c>
      <c r="D321" s="1" t="s">
        <v>940</v>
      </c>
    </row>
    <row r="322" spans="1:4" x14ac:dyDescent="0.25">
      <c r="A322">
        <v>316</v>
      </c>
      <c r="B322" s="1" t="s">
        <v>941</v>
      </c>
      <c r="C322" s="1" t="s">
        <v>945</v>
      </c>
      <c r="D322" s="1" t="s">
        <v>943</v>
      </c>
    </row>
    <row r="323" spans="1:4" x14ac:dyDescent="0.25">
      <c r="A323">
        <v>317</v>
      </c>
      <c r="B323" s="1" t="s">
        <v>1035</v>
      </c>
      <c r="C323" s="1" t="s">
        <v>1040</v>
      </c>
      <c r="D323" s="1" t="s">
        <v>1042</v>
      </c>
    </row>
    <row r="324" spans="1:4" x14ac:dyDescent="0.25">
      <c r="A324">
        <v>318</v>
      </c>
      <c r="B324" s="1" t="s">
        <v>1036</v>
      </c>
      <c r="C324" s="1" t="s">
        <v>1041</v>
      </c>
      <c r="D324" s="1" t="s">
        <v>942</v>
      </c>
    </row>
    <row r="325" spans="1:4" x14ac:dyDescent="0.25">
      <c r="A325">
        <v>319</v>
      </c>
      <c r="B325" s="78" t="s">
        <v>947</v>
      </c>
      <c r="C325" s="1" t="s">
        <v>948</v>
      </c>
      <c r="D325" s="1" t="s">
        <v>949</v>
      </c>
    </row>
    <row r="326" spans="1:4" x14ac:dyDescent="0.25">
      <c r="A326">
        <v>320</v>
      </c>
      <c r="B326" s="78" t="s">
        <v>946</v>
      </c>
      <c r="C326" s="1" t="s">
        <v>951</v>
      </c>
      <c r="D326" s="1" t="s">
        <v>950</v>
      </c>
    </row>
    <row r="327" spans="1:4" x14ac:dyDescent="0.25">
      <c r="A327">
        <v>321</v>
      </c>
      <c r="B327" s="78" t="s">
        <v>953</v>
      </c>
      <c r="C327" s="1" t="s">
        <v>953</v>
      </c>
      <c r="D327" s="1" t="s">
        <v>954</v>
      </c>
    </row>
    <row r="328" spans="1:4" x14ac:dyDescent="0.25">
      <c r="A328">
        <v>322</v>
      </c>
      <c r="B328" s="78" t="s">
        <v>952</v>
      </c>
      <c r="C328" s="1" t="s">
        <v>952</v>
      </c>
      <c r="D328" s="1" t="s">
        <v>955</v>
      </c>
    </row>
    <row r="329" spans="1:4" x14ac:dyDescent="0.25">
      <c r="A329">
        <v>323</v>
      </c>
      <c r="B329" s="1" t="s">
        <v>956</v>
      </c>
      <c r="C329" s="1" t="s">
        <v>958</v>
      </c>
      <c r="D329" s="1" t="s">
        <v>960</v>
      </c>
    </row>
    <row r="330" spans="1:4" x14ac:dyDescent="0.25">
      <c r="A330">
        <v>324</v>
      </c>
      <c r="B330" s="1" t="s">
        <v>957</v>
      </c>
      <c r="C330" s="1" t="s">
        <v>959</v>
      </c>
      <c r="D330" s="1" t="s">
        <v>961</v>
      </c>
    </row>
    <row r="331" spans="1:4" x14ac:dyDescent="0.25">
      <c r="A331">
        <v>325</v>
      </c>
      <c r="B331" s="1" t="s">
        <v>962</v>
      </c>
      <c r="C331" s="1" t="s">
        <v>966</v>
      </c>
      <c r="D331" s="1" t="s">
        <v>964</v>
      </c>
    </row>
    <row r="332" spans="1:4" x14ac:dyDescent="0.25">
      <c r="A332">
        <v>326</v>
      </c>
      <c r="B332" s="1" t="s">
        <v>963</v>
      </c>
      <c r="C332" s="1" t="s">
        <v>967</v>
      </c>
      <c r="D332" s="1" t="s">
        <v>965</v>
      </c>
    </row>
    <row r="333" spans="1:4" x14ac:dyDescent="0.25">
      <c r="A333">
        <v>327</v>
      </c>
      <c r="B333" t="s">
        <v>968</v>
      </c>
      <c r="C333" t="s">
        <v>969</v>
      </c>
      <c r="D333" t="s">
        <v>970</v>
      </c>
    </row>
    <row r="334" spans="1:4" x14ac:dyDescent="0.25">
      <c r="A334">
        <v>328</v>
      </c>
      <c r="B334" t="s">
        <v>971</v>
      </c>
      <c r="C334" t="s">
        <v>972</v>
      </c>
      <c r="D334" t="s">
        <v>973</v>
      </c>
    </row>
    <row r="335" spans="1:4" x14ac:dyDescent="0.25">
      <c r="A335">
        <v>329</v>
      </c>
      <c r="B335" t="s">
        <v>974</v>
      </c>
      <c r="C335" t="s">
        <v>974</v>
      </c>
      <c r="D335" t="s">
        <v>975</v>
      </c>
    </row>
    <row r="336" spans="1:4" x14ac:dyDescent="0.25">
      <c r="A336">
        <v>330</v>
      </c>
      <c r="B336" t="s">
        <v>976</v>
      </c>
      <c r="C336" t="s">
        <v>977</v>
      </c>
      <c r="D336" t="s">
        <v>978</v>
      </c>
    </row>
    <row r="337" spans="1:4" x14ac:dyDescent="0.25">
      <c r="A337">
        <v>331</v>
      </c>
      <c r="B337" t="s">
        <v>974</v>
      </c>
      <c r="C337" t="s">
        <v>974</v>
      </c>
      <c r="D337" t="s">
        <v>975</v>
      </c>
    </row>
    <row r="338" spans="1:4" x14ac:dyDescent="0.25">
      <c r="A338">
        <v>332</v>
      </c>
      <c r="B338" s="107" t="s">
        <v>979</v>
      </c>
      <c r="C338" t="s">
        <v>979</v>
      </c>
      <c r="D338" t="s">
        <v>980</v>
      </c>
    </row>
    <row r="339" spans="1:4" x14ac:dyDescent="0.25">
      <c r="A339">
        <v>333</v>
      </c>
      <c r="B339" t="s">
        <v>981</v>
      </c>
      <c r="C339" t="s">
        <v>981</v>
      </c>
      <c r="D339" t="s">
        <v>982</v>
      </c>
    </row>
    <row r="340" spans="1:4" x14ac:dyDescent="0.25">
      <c r="A340">
        <v>334</v>
      </c>
      <c r="B340" t="s">
        <v>983</v>
      </c>
      <c r="C340" t="s">
        <v>984</v>
      </c>
      <c r="D340" t="s">
        <v>985</v>
      </c>
    </row>
    <row r="341" spans="1:4" x14ac:dyDescent="0.25">
      <c r="A341">
        <v>335</v>
      </c>
      <c r="B341" t="s">
        <v>986</v>
      </c>
      <c r="C341" t="s">
        <v>987</v>
      </c>
      <c r="D341" t="s">
        <v>988</v>
      </c>
    </row>
    <row r="342" spans="1:4" x14ac:dyDescent="0.25">
      <c r="A342">
        <v>336</v>
      </c>
      <c r="B342" t="s">
        <v>989</v>
      </c>
      <c r="C342" t="s">
        <v>990</v>
      </c>
      <c r="D342" t="s">
        <v>991</v>
      </c>
    </row>
    <row r="343" spans="1:4" x14ac:dyDescent="0.25">
      <c r="A343">
        <v>337</v>
      </c>
      <c r="B343" t="s">
        <v>992</v>
      </c>
      <c r="C343" t="s">
        <v>993</v>
      </c>
      <c r="D343" t="s">
        <v>994</v>
      </c>
    </row>
    <row r="344" spans="1:4" x14ac:dyDescent="0.25">
      <c r="A344">
        <v>338</v>
      </c>
      <c r="B344" t="s">
        <v>995</v>
      </c>
      <c r="C344" t="s">
        <v>995</v>
      </c>
      <c r="D344" t="s">
        <v>996</v>
      </c>
    </row>
    <row r="345" spans="1:4" x14ac:dyDescent="0.25">
      <c r="A345">
        <v>339</v>
      </c>
      <c r="B345" t="s">
        <v>997</v>
      </c>
      <c r="C345" t="s">
        <v>998</v>
      </c>
      <c r="D345" t="s">
        <v>999</v>
      </c>
    </row>
    <row r="346" spans="1:4" x14ac:dyDescent="0.25">
      <c r="A346">
        <v>340</v>
      </c>
      <c r="B346" t="s">
        <v>1000</v>
      </c>
      <c r="C346" t="s">
        <v>1001</v>
      </c>
      <c r="D346" t="s">
        <v>1001</v>
      </c>
    </row>
    <row r="347" spans="1:4" x14ac:dyDescent="0.25">
      <c r="A347">
        <v>341</v>
      </c>
      <c r="B347" t="s">
        <v>1002</v>
      </c>
      <c r="C347" t="s">
        <v>1002</v>
      </c>
      <c r="D347" t="s">
        <v>1003</v>
      </c>
    </row>
    <row r="348" spans="1:4" x14ac:dyDescent="0.25">
      <c r="A348">
        <v>342</v>
      </c>
      <c r="B348" t="s">
        <v>1004</v>
      </c>
      <c r="C348" t="s">
        <v>1005</v>
      </c>
      <c r="D348" t="s">
        <v>1006</v>
      </c>
    </row>
    <row r="349" spans="1:4" x14ac:dyDescent="0.25">
      <c r="A349">
        <v>343</v>
      </c>
      <c r="B349" t="s">
        <v>1007</v>
      </c>
      <c r="C349" t="s">
        <v>1008</v>
      </c>
      <c r="D349" t="s">
        <v>1009</v>
      </c>
    </row>
    <row r="350" spans="1:4" x14ac:dyDescent="0.25">
      <c r="A350">
        <v>344</v>
      </c>
      <c r="B350" t="s">
        <v>1010</v>
      </c>
      <c r="C350" t="s">
        <v>1010</v>
      </c>
      <c r="D350" t="s">
        <v>1011</v>
      </c>
    </row>
    <row r="351" spans="1:4" x14ac:dyDescent="0.25">
      <c r="A351">
        <v>345</v>
      </c>
      <c r="B351" t="s">
        <v>1012</v>
      </c>
      <c r="C351" t="s">
        <v>1012</v>
      </c>
      <c r="D351" t="s">
        <v>1013</v>
      </c>
    </row>
    <row r="352" spans="1:4" x14ac:dyDescent="0.25">
      <c r="A352">
        <v>346</v>
      </c>
      <c r="B352" t="s">
        <v>1014</v>
      </c>
      <c r="C352" t="s">
        <v>1015</v>
      </c>
      <c r="D352" t="s">
        <v>1016</v>
      </c>
    </row>
    <row r="353" spans="1:4" x14ac:dyDescent="0.25">
      <c r="A353">
        <v>347</v>
      </c>
      <c r="B353" t="s">
        <v>1017</v>
      </c>
      <c r="C353" t="s">
        <v>1017</v>
      </c>
      <c r="D353" t="s">
        <v>1018</v>
      </c>
    </row>
    <row r="354" spans="1:4" x14ac:dyDescent="0.25">
      <c r="A354">
        <v>348</v>
      </c>
      <c r="B354" t="s">
        <v>1019</v>
      </c>
      <c r="C354" t="s">
        <v>1019</v>
      </c>
      <c r="D354" t="s">
        <v>1020</v>
      </c>
    </row>
    <row r="355" spans="1:4" x14ac:dyDescent="0.25">
      <c r="A355">
        <v>349</v>
      </c>
      <c r="B355" t="s">
        <v>1021</v>
      </c>
      <c r="C355" t="s">
        <v>1021</v>
      </c>
      <c r="D355" t="s">
        <v>1022</v>
      </c>
    </row>
    <row r="356" spans="1:4" x14ac:dyDescent="0.25">
      <c r="A356">
        <v>350</v>
      </c>
      <c r="B356" t="s">
        <v>1023</v>
      </c>
      <c r="C356" t="s">
        <v>1024</v>
      </c>
      <c r="D356" t="s">
        <v>1025</v>
      </c>
    </row>
    <row r="357" spans="1:4" x14ac:dyDescent="0.25">
      <c r="A357">
        <v>351</v>
      </c>
      <c r="B357" t="s">
        <v>1026</v>
      </c>
      <c r="C357" t="s">
        <v>1027</v>
      </c>
      <c r="D357" t="s">
        <v>1028</v>
      </c>
    </row>
    <row r="358" spans="1:4" x14ac:dyDescent="0.25">
      <c r="A358">
        <v>352</v>
      </c>
      <c r="B358" s="1" t="s">
        <v>1029</v>
      </c>
      <c r="C358" s="1" t="s">
        <v>1031</v>
      </c>
      <c r="D358" s="1" t="s">
        <v>1033</v>
      </c>
    </row>
    <row r="359" spans="1:4" x14ac:dyDescent="0.25">
      <c r="A359">
        <v>353</v>
      </c>
      <c r="B359" s="1" t="s">
        <v>1030</v>
      </c>
      <c r="C359" s="1" t="s">
        <v>1032</v>
      </c>
      <c r="D359" s="1" t="s">
        <v>1034</v>
      </c>
    </row>
    <row r="360" spans="1:4" x14ac:dyDescent="0.25">
      <c r="A360">
        <v>354</v>
      </c>
      <c r="B360" s="1" t="s">
        <v>1095</v>
      </c>
      <c r="C360" s="1" t="s">
        <v>1095</v>
      </c>
      <c r="D360" s="1" t="s">
        <v>1096</v>
      </c>
    </row>
    <row r="361" spans="1:4" x14ac:dyDescent="0.25">
      <c r="A361">
        <v>355</v>
      </c>
      <c r="B361" s="1" t="s">
        <v>1099</v>
      </c>
      <c r="C361" s="1" t="s">
        <v>1099</v>
      </c>
      <c r="D361" s="1" t="s">
        <v>1100</v>
      </c>
    </row>
    <row r="362" spans="1:4" x14ac:dyDescent="0.25">
      <c r="A362">
        <v>356</v>
      </c>
      <c r="B362" s="1" t="s">
        <v>1102</v>
      </c>
      <c r="C362" s="1" t="s">
        <v>1102</v>
      </c>
      <c r="D362" s="1" t="s">
        <v>1103</v>
      </c>
    </row>
    <row r="363" spans="1:4" ht="60" x14ac:dyDescent="0.25">
      <c r="A363">
        <v>357</v>
      </c>
      <c r="B363" s="2" t="s">
        <v>1106</v>
      </c>
      <c r="C363" s="1" t="s">
        <v>1109</v>
      </c>
      <c r="D363" s="1" t="s">
        <v>1114</v>
      </c>
    </row>
    <row r="364" spans="1:4" x14ac:dyDescent="0.25">
      <c r="A364">
        <v>358</v>
      </c>
      <c r="B364" s="1" t="s">
        <v>1104</v>
      </c>
      <c r="C364" s="1" t="s">
        <v>1110</v>
      </c>
      <c r="D364" s="1" t="s">
        <v>1115</v>
      </c>
    </row>
    <row r="365" spans="1:4" ht="45" x14ac:dyDescent="0.25">
      <c r="A365">
        <v>359</v>
      </c>
      <c r="B365" s="2" t="s">
        <v>1107</v>
      </c>
      <c r="C365" s="1" t="s">
        <v>1111</v>
      </c>
      <c r="D365" s="1" t="s">
        <v>1116</v>
      </c>
    </row>
    <row r="366" spans="1:4" ht="60" x14ac:dyDescent="0.25">
      <c r="A366">
        <v>360</v>
      </c>
      <c r="B366" s="2" t="s">
        <v>1108</v>
      </c>
      <c r="C366" s="1" t="s">
        <v>1112</v>
      </c>
      <c r="D366" s="1" t="s">
        <v>1117</v>
      </c>
    </row>
    <row r="367" spans="1:4" ht="30" x14ac:dyDescent="0.25">
      <c r="A367">
        <v>361</v>
      </c>
      <c r="B367" s="2" t="s">
        <v>1105</v>
      </c>
      <c r="C367" s="1" t="s">
        <v>1113</v>
      </c>
      <c r="D367" s="1" t="s">
        <v>1118</v>
      </c>
    </row>
    <row r="368" spans="1:4" x14ac:dyDescent="0.25">
      <c r="A368">
        <v>362</v>
      </c>
      <c r="B368" s="2" t="s">
        <v>1134</v>
      </c>
      <c r="C368" s="1" t="s">
        <v>1135</v>
      </c>
      <c r="D368" s="1" t="s">
        <v>1136</v>
      </c>
    </row>
    <row r="369" spans="1:1" x14ac:dyDescent="0.25">
      <c r="A369">
        <v>363</v>
      </c>
    </row>
    <row r="370" spans="1:1" x14ac:dyDescent="0.25">
      <c r="A370">
        <v>364</v>
      </c>
    </row>
    <row r="371" spans="1:1" x14ac:dyDescent="0.25">
      <c r="A371">
        <v>365</v>
      </c>
    </row>
    <row r="372" spans="1:1" x14ac:dyDescent="0.25">
      <c r="A372">
        <v>366</v>
      </c>
    </row>
    <row r="373" spans="1:1" x14ac:dyDescent="0.25">
      <c r="A373">
        <v>367</v>
      </c>
    </row>
    <row r="374" spans="1:1" x14ac:dyDescent="0.25">
      <c r="A374">
        <v>368</v>
      </c>
    </row>
    <row r="375" spans="1:1" x14ac:dyDescent="0.25">
      <c r="A375">
        <v>369</v>
      </c>
    </row>
    <row r="376" spans="1:1" x14ac:dyDescent="0.25">
      <c r="A376">
        <v>370</v>
      </c>
    </row>
    <row r="377" spans="1:1" x14ac:dyDescent="0.25">
      <c r="A377">
        <v>371</v>
      </c>
    </row>
    <row r="378" spans="1:1" x14ac:dyDescent="0.25">
      <c r="A378">
        <v>372</v>
      </c>
    </row>
    <row r="379" spans="1:1" x14ac:dyDescent="0.25">
      <c r="A379">
        <v>373</v>
      </c>
    </row>
    <row r="380" spans="1:1" x14ac:dyDescent="0.25">
      <c r="A380">
        <v>374</v>
      </c>
    </row>
    <row r="381" spans="1:1" x14ac:dyDescent="0.25">
      <c r="A381">
        <v>375</v>
      </c>
    </row>
    <row r="382" spans="1:1" x14ac:dyDescent="0.25">
      <c r="A382">
        <v>376</v>
      </c>
    </row>
    <row r="383" spans="1:1" x14ac:dyDescent="0.25">
      <c r="A383">
        <v>377</v>
      </c>
    </row>
    <row r="384" spans="1:1" x14ac:dyDescent="0.25">
      <c r="A384">
        <v>378</v>
      </c>
    </row>
    <row r="385" spans="1:1" x14ac:dyDescent="0.25">
      <c r="A385">
        <v>379</v>
      </c>
    </row>
    <row r="386" spans="1:1" x14ac:dyDescent="0.25">
      <c r="A386">
        <v>380</v>
      </c>
    </row>
    <row r="387" spans="1:1" x14ac:dyDescent="0.25">
      <c r="A387">
        <v>381</v>
      </c>
    </row>
    <row r="388" spans="1:1" x14ac:dyDescent="0.25">
      <c r="A388">
        <v>382</v>
      </c>
    </row>
    <row r="389" spans="1:1" x14ac:dyDescent="0.25">
      <c r="A389">
        <v>383</v>
      </c>
    </row>
    <row r="390" spans="1:1" x14ac:dyDescent="0.25">
      <c r="A390">
        <v>384</v>
      </c>
    </row>
    <row r="391" spans="1:1" x14ac:dyDescent="0.25">
      <c r="A391">
        <v>385</v>
      </c>
    </row>
    <row r="392" spans="1:1" x14ac:dyDescent="0.25">
      <c r="A392">
        <v>386</v>
      </c>
    </row>
    <row r="393" spans="1:1" x14ac:dyDescent="0.25">
      <c r="A393">
        <v>387</v>
      </c>
    </row>
    <row r="394" spans="1:1" x14ac:dyDescent="0.25">
      <c r="A394">
        <v>388</v>
      </c>
    </row>
    <row r="395" spans="1:1" x14ac:dyDescent="0.25">
      <c r="A395">
        <v>389</v>
      </c>
    </row>
    <row r="396" spans="1:1" x14ac:dyDescent="0.25">
      <c r="A396">
        <v>390</v>
      </c>
    </row>
    <row r="397" spans="1:1" x14ac:dyDescent="0.25">
      <c r="A397">
        <v>391</v>
      </c>
    </row>
    <row r="398" spans="1:1" x14ac:dyDescent="0.25">
      <c r="A398">
        <v>392</v>
      </c>
    </row>
    <row r="399" spans="1:1" x14ac:dyDescent="0.25">
      <c r="A399">
        <v>393</v>
      </c>
    </row>
    <row r="400" spans="1:1" x14ac:dyDescent="0.25">
      <c r="A400">
        <v>394</v>
      </c>
    </row>
    <row r="401" spans="1:4" x14ac:dyDescent="0.25">
      <c r="A401">
        <v>395</v>
      </c>
    </row>
    <row r="402" spans="1:4" x14ac:dyDescent="0.25">
      <c r="A402">
        <v>396</v>
      </c>
    </row>
    <row r="403" spans="1:4" x14ac:dyDescent="0.25">
      <c r="A403">
        <v>397</v>
      </c>
    </row>
    <row r="404" spans="1:4" x14ac:dyDescent="0.25">
      <c r="A404">
        <v>398</v>
      </c>
    </row>
    <row r="405" spans="1:4" x14ac:dyDescent="0.25">
      <c r="A405">
        <v>399</v>
      </c>
    </row>
    <row r="406" spans="1:4" x14ac:dyDescent="0.25">
      <c r="A406">
        <v>400</v>
      </c>
      <c r="B406" s="1" t="s">
        <v>340</v>
      </c>
      <c r="C406" s="1" t="s">
        <v>341</v>
      </c>
      <c r="D406" s="1" t="s">
        <v>339</v>
      </c>
    </row>
    <row r="407" spans="1:4" x14ac:dyDescent="0.25">
      <c r="A407">
        <v>401</v>
      </c>
      <c r="B407" s="1" t="s">
        <v>343</v>
      </c>
      <c r="C407" s="1" t="s">
        <v>344</v>
      </c>
      <c r="D407" s="1" t="s">
        <v>342</v>
      </c>
    </row>
    <row r="408" spans="1:4" x14ac:dyDescent="0.25">
      <c r="A408">
        <v>402</v>
      </c>
    </row>
    <row r="409" spans="1:4" x14ac:dyDescent="0.25">
      <c r="A409">
        <v>403</v>
      </c>
    </row>
    <row r="410" spans="1:4" x14ac:dyDescent="0.25">
      <c r="A410">
        <v>404</v>
      </c>
    </row>
    <row r="411" spans="1:4" x14ac:dyDescent="0.25">
      <c r="A411">
        <v>405</v>
      </c>
    </row>
    <row r="412" spans="1:4" x14ac:dyDescent="0.25">
      <c r="A412">
        <v>406</v>
      </c>
    </row>
    <row r="413" spans="1:4" x14ac:dyDescent="0.25">
      <c r="A413">
        <v>407</v>
      </c>
    </row>
    <row r="414" spans="1:4" x14ac:dyDescent="0.25">
      <c r="A414">
        <v>408</v>
      </c>
    </row>
    <row r="415" spans="1:4" x14ac:dyDescent="0.25">
      <c r="A415">
        <v>409</v>
      </c>
    </row>
    <row r="416" spans="1:4" x14ac:dyDescent="0.25">
      <c r="A416">
        <v>410</v>
      </c>
    </row>
    <row r="417" spans="1:1" x14ac:dyDescent="0.25">
      <c r="A417">
        <v>411</v>
      </c>
    </row>
    <row r="418" spans="1:1" x14ac:dyDescent="0.25">
      <c r="A418">
        <v>412</v>
      </c>
    </row>
    <row r="419" spans="1:1" x14ac:dyDescent="0.25">
      <c r="A419">
        <v>413</v>
      </c>
    </row>
    <row r="420" spans="1:1" x14ac:dyDescent="0.25">
      <c r="A420">
        <v>414</v>
      </c>
    </row>
    <row r="421" spans="1:1" x14ac:dyDescent="0.25">
      <c r="A421">
        <v>415</v>
      </c>
    </row>
    <row r="422" spans="1:1" x14ac:dyDescent="0.25">
      <c r="A422">
        <v>416</v>
      </c>
    </row>
    <row r="423" spans="1:1" x14ac:dyDescent="0.25">
      <c r="A423">
        <v>417</v>
      </c>
    </row>
    <row r="424" spans="1:1" x14ac:dyDescent="0.25">
      <c r="A424">
        <v>418</v>
      </c>
    </row>
    <row r="425" spans="1:1" x14ac:dyDescent="0.25">
      <c r="A425">
        <v>419</v>
      </c>
    </row>
    <row r="426" spans="1:1" x14ac:dyDescent="0.25">
      <c r="A426">
        <v>420</v>
      </c>
    </row>
    <row r="427" spans="1:1" x14ac:dyDescent="0.25">
      <c r="A427">
        <v>421</v>
      </c>
    </row>
    <row r="428" spans="1:1" x14ac:dyDescent="0.25">
      <c r="A428">
        <v>422</v>
      </c>
    </row>
    <row r="429" spans="1:1" x14ac:dyDescent="0.25">
      <c r="A429">
        <v>423</v>
      </c>
    </row>
    <row r="430" spans="1:1" x14ac:dyDescent="0.25">
      <c r="A430">
        <v>424</v>
      </c>
    </row>
    <row r="431" spans="1:1" x14ac:dyDescent="0.25">
      <c r="A431">
        <v>425</v>
      </c>
    </row>
    <row r="432" spans="1:1" x14ac:dyDescent="0.25">
      <c r="A432">
        <v>426</v>
      </c>
    </row>
    <row r="433" spans="1:1" x14ac:dyDescent="0.25">
      <c r="A433">
        <v>427</v>
      </c>
    </row>
    <row r="434" spans="1:1" x14ac:dyDescent="0.25">
      <c r="A434">
        <v>428</v>
      </c>
    </row>
    <row r="435" spans="1:1" x14ac:dyDescent="0.25">
      <c r="A435">
        <v>429</v>
      </c>
    </row>
    <row r="436" spans="1:1" x14ac:dyDescent="0.25">
      <c r="A436">
        <v>430</v>
      </c>
    </row>
    <row r="437" spans="1:1" x14ac:dyDescent="0.25">
      <c r="A437">
        <v>431</v>
      </c>
    </row>
    <row r="438" spans="1:1" x14ac:dyDescent="0.25">
      <c r="A438">
        <v>432</v>
      </c>
    </row>
    <row r="439" spans="1:1" x14ac:dyDescent="0.25">
      <c r="A439">
        <v>433</v>
      </c>
    </row>
    <row r="440" spans="1:1" x14ac:dyDescent="0.25">
      <c r="A440">
        <v>434</v>
      </c>
    </row>
    <row r="441" spans="1:1" x14ac:dyDescent="0.25">
      <c r="A441">
        <v>435</v>
      </c>
    </row>
    <row r="442" spans="1:1" x14ac:dyDescent="0.25">
      <c r="A442">
        <v>436</v>
      </c>
    </row>
    <row r="443" spans="1:1" x14ac:dyDescent="0.25">
      <c r="A443">
        <v>437</v>
      </c>
    </row>
    <row r="444" spans="1:1" x14ac:dyDescent="0.25">
      <c r="A444">
        <v>438</v>
      </c>
    </row>
    <row r="445" spans="1:1" x14ac:dyDescent="0.25">
      <c r="A445">
        <v>439</v>
      </c>
    </row>
    <row r="446" spans="1:1" x14ac:dyDescent="0.25">
      <c r="A446">
        <v>440</v>
      </c>
    </row>
    <row r="447" spans="1:1" x14ac:dyDescent="0.25">
      <c r="A447">
        <v>441</v>
      </c>
    </row>
    <row r="448" spans="1:1" x14ac:dyDescent="0.25">
      <c r="A448">
        <v>442</v>
      </c>
    </row>
    <row r="449" spans="1:1" x14ac:dyDescent="0.25">
      <c r="A449">
        <v>443</v>
      </c>
    </row>
    <row r="450" spans="1:1" x14ac:dyDescent="0.25">
      <c r="A450">
        <v>444</v>
      </c>
    </row>
    <row r="451" spans="1:1" x14ac:dyDescent="0.25">
      <c r="A451">
        <v>445</v>
      </c>
    </row>
    <row r="452" spans="1:1" x14ac:dyDescent="0.25">
      <c r="A452">
        <v>446</v>
      </c>
    </row>
    <row r="453" spans="1:1" x14ac:dyDescent="0.25">
      <c r="A453">
        <v>447</v>
      </c>
    </row>
    <row r="454" spans="1:1" x14ac:dyDescent="0.25">
      <c r="A454">
        <v>448</v>
      </c>
    </row>
    <row r="455" spans="1:1" x14ac:dyDescent="0.25">
      <c r="A455">
        <v>449</v>
      </c>
    </row>
    <row r="456" spans="1:1" x14ac:dyDescent="0.25">
      <c r="A456">
        <v>450</v>
      </c>
    </row>
    <row r="457" spans="1:1" x14ac:dyDescent="0.25">
      <c r="A457">
        <v>451</v>
      </c>
    </row>
    <row r="458" spans="1:1" x14ac:dyDescent="0.25">
      <c r="A458">
        <v>452</v>
      </c>
    </row>
    <row r="459" spans="1:1" x14ac:dyDescent="0.25">
      <c r="A459">
        <v>453</v>
      </c>
    </row>
    <row r="460" spans="1:1" x14ac:dyDescent="0.25">
      <c r="A460">
        <v>454</v>
      </c>
    </row>
    <row r="461" spans="1:1" x14ac:dyDescent="0.25">
      <c r="A461">
        <v>455</v>
      </c>
    </row>
    <row r="462" spans="1:1" x14ac:dyDescent="0.25">
      <c r="A462">
        <v>456</v>
      </c>
    </row>
    <row r="463" spans="1:1" x14ac:dyDescent="0.25">
      <c r="A463">
        <v>457</v>
      </c>
    </row>
    <row r="464" spans="1:1" x14ac:dyDescent="0.25">
      <c r="A464">
        <v>458</v>
      </c>
    </row>
    <row r="465" spans="1:1" x14ac:dyDescent="0.25">
      <c r="A465">
        <v>459</v>
      </c>
    </row>
    <row r="466" spans="1:1" x14ac:dyDescent="0.25">
      <c r="A466">
        <v>460</v>
      </c>
    </row>
    <row r="467" spans="1:1" x14ac:dyDescent="0.25">
      <c r="A467">
        <v>461</v>
      </c>
    </row>
    <row r="468" spans="1:1" x14ac:dyDescent="0.25">
      <c r="A468">
        <v>462</v>
      </c>
    </row>
    <row r="469" spans="1:1" x14ac:dyDescent="0.25">
      <c r="A469">
        <v>463</v>
      </c>
    </row>
    <row r="470" spans="1:1" x14ac:dyDescent="0.25">
      <c r="A470">
        <v>464</v>
      </c>
    </row>
    <row r="471" spans="1:1" x14ac:dyDescent="0.25">
      <c r="A471">
        <v>465</v>
      </c>
    </row>
    <row r="472" spans="1:1" x14ac:dyDescent="0.25">
      <c r="A472">
        <v>466</v>
      </c>
    </row>
    <row r="473" spans="1:1" x14ac:dyDescent="0.25">
      <c r="A473">
        <v>467</v>
      </c>
    </row>
    <row r="474" spans="1:1" x14ac:dyDescent="0.25">
      <c r="A474">
        <v>468</v>
      </c>
    </row>
    <row r="475" spans="1:1" x14ac:dyDescent="0.25">
      <c r="A475">
        <v>469</v>
      </c>
    </row>
    <row r="476" spans="1:1" x14ac:dyDescent="0.25">
      <c r="A476">
        <v>470</v>
      </c>
    </row>
    <row r="477" spans="1:1" x14ac:dyDescent="0.25">
      <c r="A477">
        <v>471</v>
      </c>
    </row>
    <row r="478" spans="1:1" x14ac:dyDescent="0.25">
      <c r="A478">
        <v>472</v>
      </c>
    </row>
    <row r="479" spans="1:1" x14ac:dyDescent="0.25">
      <c r="A479">
        <v>473</v>
      </c>
    </row>
    <row r="480" spans="1:1" x14ac:dyDescent="0.25">
      <c r="A480">
        <v>474</v>
      </c>
    </row>
    <row r="481" spans="1:1" x14ac:dyDescent="0.25">
      <c r="A481">
        <v>475</v>
      </c>
    </row>
    <row r="482" spans="1:1" x14ac:dyDescent="0.25">
      <c r="A482">
        <v>476</v>
      </c>
    </row>
    <row r="483" spans="1:1" x14ac:dyDescent="0.25">
      <c r="A483">
        <v>477</v>
      </c>
    </row>
    <row r="484" spans="1:1" x14ac:dyDescent="0.25">
      <c r="A484">
        <v>478</v>
      </c>
    </row>
    <row r="485" spans="1:1" x14ac:dyDescent="0.25">
      <c r="A485">
        <v>479</v>
      </c>
    </row>
    <row r="486" spans="1:1" x14ac:dyDescent="0.25">
      <c r="A486">
        <v>480</v>
      </c>
    </row>
    <row r="487" spans="1:1" x14ac:dyDescent="0.25">
      <c r="A487">
        <v>481</v>
      </c>
    </row>
    <row r="488" spans="1:1" x14ac:dyDescent="0.25">
      <c r="A488">
        <v>482</v>
      </c>
    </row>
    <row r="489" spans="1:1" x14ac:dyDescent="0.25">
      <c r="A489">
        <v>483</v>
      </c>
    </row>
    <row r="490" spans="1:1" x14ac:dyDescent="0.25">
      <c r="A490">
        <v>484</v>
      </c>
    </row>
    <row r="491" spans="1:1" x14ac:dyDescent="0.25">
      <c r="A491">
        <v>485</v>
      </c>
    </row>
    <row r="492" spans="1:1" x14ac:dyDescent="0.25">
      <c r="A492">
        <v>486</v>
      </c>
    </row>
    <row r="493" spans="1:1" x14ac:dyDescent="0.25">
      <c r="A493">
        <v>487</v>
      </c>
    </row>
    <row r="494" spans="1:1" x14ac:dyDescent="0.25">
      <c r="A494">
        <v>488</v>
      </c>
    </row>
    <row r="495" spans="1:1" x14ac:dyDescent="0.25">
      <c r="A495">
        <v>489</v>
      </c>
    </row>
    <row r="496" spans="1:1" x14ac:dyDescent="0.25">
      <c r="A496">
        <v>490</v>
      </c>
    </row>
    <row r="497" spans="1:1" x14ac:dyDescent="0.25">
      <c r="A497">
        <v>491</v>
      </c>
    </row>
    <row r="498" spans="1:1" x14ac:dyDescent="0.25">
      <c r="A498">
        <v>492</v>
      </c>
    </row>
    <row r="499" spans="1:1" x14ac:dyDescent="0.25">
      <c r="A499">
        <v>493</v>
      </c>
    </row>
    <row r="500" spans="1:1" x14ac:dyDescent="0.25">
      <c r="A500">
        <v>494</v>
      </c>
    </row>
    <row r="501" spans="1:1" x14ac:dyDescent="0.25">
      <c r="A501">
        <v>495</v>
      </c>
    </row>
    <row r="502" spans="1:1" x14ac:dyDescent="0.25">
      <c r="A502">
        <v>496</v>
      </c>
    </row>
    <row r="503" spans="1:1" x14ac:dyDescent="0.25">
      <c r="A503">
        <v>497</v>
      </c>
    </row>
    <row r="504" spans="1:1" x14ac:dyDescent="0.25">
      <c r="A504">
        <v>498</v>
      </c>
    </row>
    <row r="505" spans="1:1" x14ac:dyDescent="0.25">
      <c r="A505">
        <v>499</v>
      </c>
    </row>
    <row r="506" spans="1:1" x14ac:dyDescent="0.25">
      <c r="A506">
        <v>500</v>
      </c>
    </row>
    <row r="507" spans="1:1" x14ac:dyDescent="0.25">
      <c r="A507">
        <v>501</v>
      </c>
    </row>
    <row r="508" spans="1:1" x14ac:dyDescent="0.25">
      <c r="A508">
        <v>502</v>
      </c>
    </row>
    <row r="509" spans="1:1" x14ac:dyDescent="0.25">
      <c r="A509">
        <v>503</v>
      </c>
    </row>
    <row r="510" spans="1:1" x14ac:dyDescent="0.25">
      <c r="A510">
        <v>504</v>
      </c>
    </row>
    <row r="511" spans="1:1" x14ac:dyDescent="0.25">
      <c r="A511">
        <v>505</v>
      </c>
    </row>
    <row r="512" spans="1:1" x14ac:dyDescent="0.25">
      <c r="A512">
        <v>506</v>
      </c>
    </row>
    <row r="513" spans="1:1" x14ac:dyDescent="0.25">
      <c r="A513">
        <v>507</v>
      </c>
    </row>
    <row r="514" spans="1:1" x14ac:dyDescent="0.25">
      <c r="A514">
        <v>508</v>
      </c>
    </row>
    <row r="515" spans="1:1" x14ac:dyDescent="0.25">
      <c r="A515">
        <v>509</v>
      </c>
    </row>
    <row r="516" spans="1:1" x14ac:dyDescent="0.25">
      <c r="A516">
        <v>510</v>
      </c>
    </row>
    <row r="517" spans="1:1" x14ac:dyDescent="0.25">
      <c r="A517">
        <v>511</v>
      </c>
    </row>
    <row r="518" spans="1:1" x14ac:dyDescent="0.25">
      <c r="A518">
        <v>512</v>
      </c>
    </row>
    <row r="519" spans="1:1" x14ac:dyDescent="0.25">
      <c r="A519">
        <v>513</v>
      </c>
    </row>
    <row r="520" spans="1:1" x14ac:dyDescent="0.25">
      <c r="A520">
        <v>514</v>
      </c>
    </row>
    <row r="521" spans="1:1" x14ac:dyDescent="0.25">
      <c r="A521">
        <v>515</v>
      </c>
    </row>
    <row r="522" spans="1:1" x14ac:dyDescent="0.25">
      <c r="A522">
        <v>516</v>
      </c>
    </row>
    <row r="523" spans="1:1" x14ac:dyDescent="0.25">
      <c r="A523">
        <v>517</v>
      </c>
    </row>
    <row r="524" spans="1:1" x14ac:dyDescent="0.25">
      <c r="A524">
        <v>518</v>
      </c>
    </row>
    <row r="525" spans="1:1" x14ac:dyDescent="0.25">
      <c r="A525">
        <v>519</v>
      </c>
    </row>
    <row r="526" spans="1:1" x14ac:dyDescent="0.25">
      <c r="A526">
        <v>520</v>
      </c>
    </row>
    <row r="527" spans="1:1" x14ac:dyDescent="0.25">
      <c r="A527">
        <v>521</v>
      </c>
    </row>
    <row r="528" spans="1:1" x14ac:dyDescent="0.25">
      <c r="A528">
        <v>522</v>
      </c>
    </row>
    <row r="529" spans="1:1" x14ac:dyDescent="0.25">
      <c r="A529">
        <v>523</v>
      </c>
    </row>
    <row r="530" spans="1:1" x14ac:dyDescent="0.25">
      <c r="A530">
        <v>524</v>
      </c>
    </row>
    <row r="531" spans="1:1" x14ac:dyDescent="0.25">
      <c r="A531">
        <v>525</v>
      </c>
    </row>
    <row r="532" spans="1:1" x14ac:dyDescent="0.25">
      <c r="A532">
        <v>526</v>
      </c>
    </row>
    <row r="533" spans="1:1" x14ac:dyDescent="0.25">
      <c r="A533">
        <v>527</v>
      </c>
    </row>
    <row r="534" spans="1:1" x14ac:dyDescent="0.25">
      <c r="A534">
        <v>528</v>
      </c>
    </row>
    <row r="535" spans="1:1" x14ac:dyDescent="0.25">
      <c r="A535">
        <v>529</v>
      </c>
    </row>
    <row r="536" spans="1:1" x14ac:dyDescent="0.25">
      <c r="A536">
        <v>530</v>
      </c>
    </row>
    <row r="537" spans="1:1" x14ac:dyDescent="0.25">
      <c r="A537">
        <v>531</v>
      </c>
    </row>
    <row r="538" spans="1:1" x14ac:dyDescent="0.25">
      <c r="A538">
        <v>532</v>
      </c>
    </row>
    <row r="539" spans="1:1" x14ac:dyDescent="0.25">
      <c r="A539">
        <v>533</v>
      </c>
    </row>
    <row r="540" spans="1:1" x14ac:dyDescent="0.25">
      <c r="A540">
        <v>534</v>
      </c>
    </row>
    <row r="541" spans="1:1" x14ac:dyDescent="0.25">
      <c r="A541">
        <v>535</v>
      </c>
    </row>
    <row r="542" spans="1:1" x14ac:dyDescent="0.25">
      <c r="A542">
        <v>536</v>
      </c>
    </row>
    <row r="543" spans="1:1" x14ac:dyDescent="0.25">
      <c r="A543">
        <v>537</v>
      </c>
    </row>
    <row r="544" spans="1:1" x14ac:dyDescent="0.25">
      <c r="A544">
        <v>538</v>
      </c>
    </row>
    <row r="545" spans="1:1" x14ac:dyDescent="0.25">
      <c r="A545">
        <v>539</v>
      </c>
    </row>
    <row r="546" spans="1:1" x14ac:dyDescent="0.25">
      <c r="A546">
        <v>540</v>
      </c>
    </row>
    <row r="547" spans="1:1" x14ac:dyDescent="0.25">
      <c r="A547">
        <v>541</v>
      </c>
    </row>
    <row r="548" spans="1:1" x14ac:dyDescent="0.25">
      <c r="A548">
        <v>542</v>
      </c>
    </row>
    <row r="549" spans="1:1" x14ac:dyDescent="0.25">
      <c r="A549">
        <v>543</v>
      </c>
    </row>
    <row r="550" spans="1:1" x14ac:dyDescent="0.25">
      <c r="A550">
        <v>544</v>
      </c>
    </row>
    <row r="551" spans="1:1" x14ac:dyDescent="0.25">
      <c r="A551">
        <v>545</v>
      </c>
    </row>
    <row r="552" spans="1:1" x14ac:dyDescent="0.25">
      <c r="A552">
        <v>546</v>
      </c>
    </row>
    <row r="553" spans="1:1" x14ac:dyDescent="0.25">
      <c r="A553">
        <v>547</v>
      </c>
    </row>
    <row r="554" spans="1:1" x14ac:dyDescent="0.25">
      <c r="A554">
        <v>548</v>
      </c>
    </row>
    <row r="555" spans="1:1" x14ac:dyDescent="0.25">
      <c r="A555">
        <v>549</v>
      </c>
    </row>
    <row r="556" spans="1:1" x14ac:dyDescent="0.25">
      <c r="A556">
        <v>550</v>
      </c>
    </row>
    <row r="557" spans="1:1" x14ac:dyDescent="0.25">
      <c r="A557">
        <v>551</v>
      </c>
    </row>
    <row r="558" spans="1:1" x14ac:dyDescent="0.25">
      <c r="A558">
        <v>552</v>
      </c>
    </row>
    <row r="559" spans="1:1" x14ac:dyDescent="0.25">
      <c r="A559">
        <v>553</v>
      </c>
    </row>
    <row r="560" spans="1:1" x14ac:dyDescent="0.25">
      <c r="A560">
        <v>554</v>
      </c>
    </row>
    <row r="561" spans="1:1" x14ac:dyDescent="0.25">
      <c r="A561">
        <v>555</v>
      </c>
    </row>
    <row r="562" spans="1:1" x14ac:dyDescent="0.25">
      <c r="A562">
        <v>556</v>
      </c>
    </row>
    <row r="563" spans="1:1" x14ac:dyDescent="0.25">
      <c r="A563">
        <v>557</v>
      </c>
    </row>
    <row r="564" spans="1:1" x14ac:dyDescent="0.25">
      <c r="A564">
        <v>558</v>
      </c>
    </row>
    <row r="565" spans="1:1" x14ac:dyDescent="0.25">
      <c r="A565">
        <v>559</v>
      </c>
    </row>
    <row r="566" spans="1:1" x14ac:dyDescent="0.25">
      <c r="A566">
        <v>560</v>
      </c>
    </row>
    <row r="567" spans="1:1" x14ac:dyDescent="0.25">
      <c r="A567">
        <v>561</v>
      </c>
    </row>
    <row r="568" spans="1:1" x14ac:dyDescent="0.25">
      <c r="A568">
        <v>562</v>
      </c>
    </row>
    <row r="569" spans="1:1" x14ac:dyDescent="0.25">
      <c r="A569">
        <v>563</v>
      </c>
    </row>
    <row r="570" spans="1:1" x14ac:dyDescent="0.25">
      <c r="A570">
        <v>564</v>
      </c>
    </row>
    <row r="571" spans="1:1" x14ac:dyDescent="0.25">
      <c r="A571">
        <v>565</v>
      </c>
    </row>
    <row r="572" spans="1:1" x14ac:dyDescent="0.25">
      <c r="A572">
        <v>566</v>
      </c>
    </row>
    <row r="573" spans="1:1" x14ac:dyDescent="0.25">
      <c r="A573">
        <v>567</v>
      </c>
    </row>
    <row r="574" spans="1:1" x14ac:dyDescent="0.25">
      <c r="A574">
        <v>568</v>
      </c>
    </row>
    <row r="575" spans="1:1" x14ac:dyDescent="0.25">
      <c r="A575">
        <v>569</v>
      </c>
    </row>
    <row r="576" spans="1:1" x14ac:dyDescent="0.25">
      <c r="A576">
        <v>570</v>
      </c>
    </row>
    <row r="577" spans="1:1" x14ac:dyDescent="0.25">
      <c r="A577">
        <v>571</v>
      </c>
    </row>
    <row r="578" spans="1:1" x14ac:dyDescent="0.25">
      <c r="A578">
        <v>572</v>
      </c>
    </row>
    <row r="579" spans="1:1" x14ac:dyDescent="0.25">
      <c r="A579">
        <v>573</v>
      </c>
    </row>
    <row r="580" spans="1:1" x14ac:dyDescent="0.25">
      <c r="A580">
        <v>574</v>
      </c>
    </row>
    <row r="581" spans="1:1" x14ac:dyDescent="0.25">
      <c r="A581">
        <v>575</v>
      </c>
    </row>
    <row r="582" spans="1:1" x14ac:dyDescent="0.25">
      <c r="A582">
        <v>576</v>
      </c>
    </row>
    <row r="583" spans="1:1" x14ac:dyDescent="0.25">
      <c r="A583">
        <v>577</v>
      </c>
    </row>
    <row r="584" spans="1:1" x14ac:dyDescent="0.25">
      <c r="A584">
        <v>578</v>
      </c>
    </row>
    <row r="585" spans="1:1" x14ac:dyDescent="0.25">
      <c r="A585">
        <v>579</v>
      </c>
    </row>
    <row r="586" spans="1:1" x14ac:dyDescent="0.25">
      <c r="A586">
        <v>580</v>
      </c>
    </row>
    <row r="587" spans="1:1" x14ac:dyDescent="0.25">
      <c r="A587">
        <v>581</v>
      </c>
    </row>
    <row r="588" spans="1:1" x14ac:dyDescent="0.25">
      <c r="A588">
        <v>582</v>
      </c>
    </row>
    <row r="589" spans="1:1" x14ac:dyDescent="0.25">
      <c r="A589">
        <v>583</v>
      </c>
    </row>
    <row r="590" spans="1:1" x14ac:dyDescent="0.25">
      <c r="A590">
        <v>584</v>
      </c>
    </row>
    <row r="591" spans="1:1" x14ac:dyDescent="0.25">
      <c r="A591">
        <v>585</v>
      </c>
    </row>
    <row r="592" spans="1:1" x14ac:dyDescent="0.25">
      <c r="A592">
        <v>586</v>
      </c>
    </row>
    <row r="593" spans="1:1" x14ac:dyDescent="0.25">
      <c r="A593">
        <v>587</v>
      </c>
    </row>
    <row r="594" spans="1:1" x14ac:dyDescent="0.25">
      <c r="A594">
        <v>588</v>
      </c>
    </row>
    <row r="595" spans="1:1" x14ac:dyDescent="0.25">
      <c r="A595">
        <v>589</v>
      </c>
    </row>
    <row r="596" spans="1:1" x14ac:dyDescent="0.25">
      <c r="A596">
        <v>590</v>
      </c>
    </row>
    <row r="597" spans="1:1" x14ac:dyDescent="0.25">
      <c r="A597">
        <v>591</v>
      </c>
    </row>
    <row r="598" spans="1:1" x14ac:dyDescent="0.25">
      <c r="A598">
        <v>592</v>
      </c>
    </row>
    <row r="599" spans="1:1" x14ac:dyDescent="0.25">
      <c r="A599">
        <v>593</v>
      </c>
    </row>
    <row r="600" spans="1:1" x14ac:dyDescent="0.25">
      <c r="A600">
        <v>594</v>
      </c>
    </row>
    <row r="601" spans="1:1" x14ac:dyDescent="0.25">
      <c r="A601">
        <v>595</v>
      </c>
    </row>
    <row r="602" spans="1:1" x14ac:dyDescent="0.25">
      <c r="A602">
        <v>596</v>
      </c>
    </row>
    <row r="603" spans="1:1" x14ac:dyDescent="0.25">
      <c r="A603">
        <v>597</v>
      </c>
    </row>
    <row r="604" spans="1:1" x14ac:dyDescent="0.25">
      <c r="A604">
        <v>598</v>
      </c>
    </row>
    <row r="605" spans="1:1" x14ac:dyDescent="0.25">
      <c r="A605">
        <v>599</v>
      </c>
    </row>
    <row r="606" spans="1:1" x14ac:dyDescent="0.25">
      <c r="A606">
        <v>600</v>
      </c>
    </row>
    <row r="607" spans="1:1" x14ac:dyDescent="0.25">
      <c r="A607">
        <v>601</v>
      </c>
    </row>
    <row r="608" spans="1:1" x14ac:dyDescent="0.25">
      <c r="A608">
        <v>602</v>
      </c>
    </row>
    <row r="609" spans="1:1" x14ac:dyDescent="0.25">
      <c r="A609">
        <v>603</v>
      </c>
    </row>
    <row r="610" spans="1:1" x14ac:dyDescent="0.25">
      <c r="A610">
        <v>604</v>
      </c>
    </row>
    <row r="611" spans="1:1" x14ac:dyDescent="0.25">
      <c r="A611">
        <v>605</v>
      </c>
    </row>
    <row r="612" spans="1:1" x14ac:dyDescent="0.25">
      <c r="A612">
        <v>606</v>
      </c>
    </row>
    <row r="613" spans="1:1" x14ac:dyDescent="0.25">
      <c r="A613">
        <v>607</v>
      </c>
    </row>
    <row r="614" spans="1:1" x14ac:dyDescent="0.25">
      <c r="A614">
        <v>608</v>
      </c>
    </row>
    <row r="615" spans="1:1" x14ac:dyDescent="0.25">
      <c r="A615">
        <v>609</v>
      </c>
    </row>
    <row r="616" spans="1:1" x14ac:dyDescent="0.25">
      <c r="A616">
        <v>610</v>
      </c>
    </row>
    <row r="617" spans="1:1" x14ac:dyDescent="0.25">
      <c r="A617">
        <v>611</v>
      </c>
    </row>
    <row r="618" spans="1:1" x14ac:dyDescent="0.25">
      <c r="A618">
        <v>612</v>
      </c>
    </row>
    <row r="619" spans="1:1" x14ac:dyDescent="0.25">
      <c r="A619">
        <v>613</v>
      </c>
    </row>
    <row r="620" spans="1:1" x14ac:dyDescent="0.25">
      <c r="A620">
        <v>614</v>
      </c>
    </row>
    <row r="621" spans="1:1" x14ac:dyDescent="0.25">
      <c r="A621">
        <v>615</v>
      </c>
    </row>
    <row r="622" spans="1:1" x14ac:dyDescent="0.25">
      <c r="A622">
        <v>616</v>
      </c>
    </row>
    <row r="623" spans="1:1" x14ac:dyDescent="0.25">
      <c r="A623">
        <v>617</v>
      </c>
    </row>
    <row r="624" spans="1:1" x14ac:dyDescent="0.25">
      <c r="A624">
        <v>618</v>
      </c>
    </row>
    <row r="625" spans="1:1" x14ac:dyDescent="0.25">
      <c r="A625">
        <v>619</v>
      </c>
    </row>
    <row r="626" spans="1:1" x14ac:dyDescent="0.25">
      <c r="A626">
        <v>620</v>
      </c>
    </row>
    <row r="627" spans="1:1" x14ac:dyDescent="0.25">
      <c r="A627">
        <v>621</v>
      </c>
    </row>
    <row r="628" spans="1:1" x14ac:dyDescent="0.25">
      <c r="A628">
        <v>622</v>
      </c>
    </row>
    <row r="629" spans="1:1" x14ac:dyDescent="0.25">
      <c r="A629">
        <v>623</v>
      </c>
    </row>
    <row r="630" spans="1:1" x14ac:dyDescent="0.25">
      <c r="A630">
        <v>624</v>
      </c>
    </row>
    <row r="631" spans="1:1" x14ac:dyDescent="0.25">
      <c r="A631">
        <v>625</v>
      </c>
    </row>
    <row r="632" spans="1:1" x14ac:dyDescent="0.25">
      <c r="A632">
        <v>626</v>
      </c>
    </row>
    <row r="633" spans="1:1" x14ac:dyDescent="0.25">
      <c r="A633">
        <v>627</v>
      </c>
    </row>
    <row r="634" spans="1:1" x14ac:dyDescent="0.25">
      <c r="A634">
        <v>628</v>
      </c>
    </row>
    <row r="635" spans="1:1" x14ac:dyDescent="0.25">
      <c r="A635">
        <v>629</v>
      </c>
    </row>
    <row r="636" spans="1:1" x14ac:dyDescent="0.25">
      <c r="A636">
        <v>630</v>
      </c>
    </row>
    <row r="637" spans="1:1" x14ac:dyDescent="0.25">
      <c r="A637">
        <v>631</v>
      </c>
    </row>
    <row r="638" spans="1:1" x14ac:dyDescent="0.25">
      <c r="A638">
        <v>632</v>
      </c>
    </row>
    <row r="639" spans="1:1" x14ac:dyDescent="0.25">
      <c r="A639">
        <v>633</v>
      </c>
    </row>
    <row r="640" spans="1:1" x14ac:dyDescent="0.25">
      <c r="A640">
        <v>634</v>
      </c>
    </row>
    <row r="641" spans="1:1" x14ac:dyDescent="0.25">
      <c r="A641">
        <v>635</v>
      </c>
    </row>
    <row r="642" spans="1:1" x14ac:dyDescent="0.25">
      <c r="A642">
        <v>636</v>
      </c>
    </row>
    <row r="643" spans="1:1" x14ac:dyDescent="0.25">
      <c r="A643">
        <v>637</v>
      </c>
    </row>
    <row r="644" spans="1:1" x14ac:dyDescent="0.25">
      <c r="A644">
        <v>638</v>
      </c>
    </row>
    <row r="645" spans="1:1" x14ac:dyDescent="0.25">
      <c r="A645">
        <v>639</v>
      </c>
    </row>
    <row r="646" spans="1:1" x14ac:dyDescent="0.25">
      <c r="A646">
        <v>640</v>
      </c>
    </row>
    <row r="647" spans="1:1" x14ac:dyDescent="0.25">
      <c r="A647">
        <v>641</v>
      </c>
    </row>
    <row r="648" spans="1:1" x14ac:dyDescent="0.25">
      <c r="A648">
        <v>642</v>
      </c>
    </row>
    <row r="649" spans="1:1" x14ac:dyDescent="0.25">
      <c r="A649">
        <v>643</v>
      </c>
    </row>
    <row r="650" spans="1:1" x14ac:dyDescent="0.25">
      <c r="A650">
        <v>644</v>
      </c>
    </row>
    <row r="651" spans="1:1" x14ac:dyDescent="0.25">
      <c r="A651">
        <v>645</v>
      </c>
    </row>
    <row r="652" spans="1:1" x14ac:dyDescent="0.25">
      <c r="A652">
        <v>646</v>
      </c>
    </row>
    <row r="653" spans="1:1" x14ac:dyDescent="0.25">
      <c r="A653">
        <v>647</v>
      </c>
    </row>
    <row r="654" spans="1:1" x14ac:dyDescent="0.25">
      <c r="A654">
        <v>648</v>
      </c>
    </row>
    <row r="655" spans="1:1" x14ac:dyDescent="0.25">
      <c r="A655">
        <v>649</v>
      </c>
    </row>
    <row r="656" spans="1:1" x14ac:dyDescent="0.25">
      <c r="A656">
        <v>650</v>
      </c>
    </row>
    <row r="657" spans="1:1" x14ac:dyDescent="0.25">
      <c r="A657">
        <v>651</v>
      </c>
    </row>
    <row r="658" spans="1:1" x14ac:dyDescent="0.25">
      <c r="A658">
        <v>652</v>
      </c>
    </row>
    <row r="659" spans="1:1" x14ac:dyDescent="0.25">
      <c r="A659">
        <v>653</v>
      </c>
    </row>
    <row r="660" spans="1:1" x14ac:dyDescent="0.25">
      <c r="A660">
        <v>654</v>
      </c>
    </row>
    <row r="661" spans="1:1" x14ac:dyDescent="0.25">
      <c r="A661">
        <v>655</v>
      </c>
    </row>
    <row r="662" spans="1:1" x14ac:dyDescent="0.25">
      <c r="A662">
        <v>656</v>
      </c>
    </row>
    <row r="663" spans="1:1" x14ac:dyDescent="0.25">
      <c r="A663">
        <v>657</v>
      </c>
    </row>
    <row r="664" spans="1:1" x14ac:dyDescent="0.25">
      <c r="A664">
        <v>658</v>
      </c>
    </row>
    <row r="665" spans="1:1" x14ac:dyDescent="0.25">
      <c r="A665">
        <v>659</v>
      </c>
    </row>
    <row r="666" spans="1:1" x14ac:dyDescent="0.25">
      <c r="A666">
        <v>660</v>
      </c>
    </row>
    <row r="667" spans="1:1" x14ac:dyDescent="0.25">
      <c r="A667">
        <v>661</v>
      </c>
    </row>
    <row r="668" spans="1:1" x14ac:dyDescent="0.25">
      <c r="A668">
        <v>662</v>
      </c>
    </row>
    <row r="669" spans="1:1" x14ac:dyDescent="0.25">
      <c r="A669">
        <v>663</v>
      </c>
    </row>
    <row r="670" spans="1:1" x14ac:dyDescent="0.25">
      <c r="A670">
        <v>664</v>
      </c>
    </row>
    <row r="671" spans="1:1" x14ac:dyDescent="0.25">
      <c r="A671">
        <v>665</v>
      </c>
    </row>
    <row r="672" spans="1:1" x14ac:dyDescent="0.25">
      <c r="A672">
        <v>666</v>
      </c>
    </row>
    <row r="673" spans="1:1" x14ac:dyDescent="0.25">
      <c r="A673">
        <v>667</v>
      </c>
    </row>
    <row r="674" spans="1:1" x14ac:dyDescent="0.25">
      <c r="A674">
        <v>668</v>
      </c>
    </row>
    <row r="675" spans="1:1" x14ac:dyDescent="0.25">
      <c r="A675">
        <v>669</v>
      </c>
    </row>
    <row r="676" spans="1:1" x14ac:dyDescent="0.25">
      <c r="A676">
        <v>670</v>
      </c>
    </row>
    <row r="677" spans="1:1" x14ac:dyDescent="0.25">
      <c r="A677">
        <v>671</v>
      </c>
    </row>
    <row r="678" spans="1:1" x14ac:dyDescent="0.25">
      <c r="A678">
        <v>672</v>
      </c>
    </row>
    <row r="679" spans="1:1" x14ac:dyDescent="0.25">
      <c r="A679">
        <v>673</v>
      </c>
    </row>
    <row r="680" spans="1:1" x14ac:dyDescent="0.25">
      <c r="A680">
        <v>674</v>
      </c>
    </row>
    <row r="681" spans="1:1" x14ac:dyDescent="0.25">
      <c r="A681">
        <v>675</v>
      </c>
    </row>
    <row r="682" spans="1:1" x14ac:dyDescent="0.25">
      <c r="A682">
        <v>676</v>
      </c>
    </row>
    <row r="683" spans="1:1" x14ac:dyDescent="0.25">
      <c r="A683">
        <v>677</v>
      </c>
    </row>
    <row r="684" spans="1:1" x14ac:dyDescent="0.25">
      <c r="A684">
        <v>678</v>
      </c>
    </row>
    <row r="685" spans="1:1" x14ac:dyDescent="0.25">
      <c r="A685">
        <v>679</v>
      </c>
    </row>
    <row r="686" spans="1:1" x14ac:dyDescent="0.25">
      <c r="A686">
        <v>680</v>
      </c>
    </row>
    <row r="687" spans="1:1" x14ac:dyDescent="0.25">
      <c r="A687">
        <v>681</v>
      </c>
    </row>
    <row r="688" spans="1:1" x14ac:dyDescent="0.25">
      <c r="A688">
        <v>682</v>
      </c>
    </row>
    <row r="689" spans="1:1" x14ac:dyDescent="0.25">
      <c r="A689">
        <v>683</v>
      </c>
    </row>
    <row r="690" spans="1:1" x14ac:dyDescent="0.25">
      <c r="A690">
        <v>684</v>
      </c>
    </row>
    <row r="691" spans="1:1" x14ac:dyDescent="0.25">
      <c r="A691">
        <v>685</v>
      </c>
    </row>
    <row r="692" spans="1:1" x14ac:dyDescent="0.25">
      <c r="A692">
        <v>686</v>
      </c>
    </row>
    <row r="693" spans="1:1" x14ac:dyDescent="0.25">
      <c r="A693">
        <v>687</v>
      </c>
    </row>
    <row r="694" spans="1:1" x14ac:dyDescent="0.25">
      <c r="A694">
        <v>688</v>
      </c>
    </row>
    <row r="695" spans="1:1" x14ac:dyDescent="0.25">
      <c r="A695">
        <v>689</v>
      </c>
    </row>
    <row r="696" spans="1:1" x14ac:dyDescent="0.25">
      <c r="A696">
        <v>690</v>
      </c>
    </row>
    <row r="697" spans="1:1" x14ac:dyDescent="0.25">
      <c r="A697">
        <v>691</v>
      </c>
    </row>
    <row r="698" spans="1:1" x14ac:dyDescent="0.25">
      <c r="A698">
        <v>692</v>
      </c>
    </row>
    <row r="699" spans="1:1" x14ac:dyDescent="0.25">
      <c r="A699">
        <v>693</v>
      </c>
    </row>
    <row r="700" spans="1:1" x14ac:dyDescent="0.25">
      <c r="A700">
        <v>694</v>
      </c>
    </row>
    <row r="701" spans="1:1" x14ac:dyDescent="0.25">
      <c r="A701">
        <v>695</v>
      </c>
    </row>
    <row r="702" spans="1:1" x14ac:dyDescent="0.25">
      <c r="A702">
        <v>696</v>
      </c>
    </row>
    <row r="703" spans="1:1" x14ac:dyDescent="0.25">
      <c r="A703">
        <v>697</v>
      </c>
    </row>
    <row r="704" spans="1:1" x14ac:dyDescent="0.25">
      <c r="A704">
        <v>698</v>
      </c>
    </row>
    <row r="705" spans="1:1" x14ac:dyDescent="0.25">
      <c r="A705">
        <v>699</v>
      </c>
    </row>
    <row r="706" spans="1:1" x14ac:dyDescent="0.25">
      <c r="A706">
        <v>700</v>
      </c>
    </row>
    <row r="707" spans="1:1" x14ac:dyDescent="0.25">
      <c r="A707">
        <v>701</v>
      </c>
    </row>
    <row r="708" spans="1:1" x14ac:dyDescent="0.25">
      <c r="A708">
        <v>702</v>
      </c>
    </row>
    <row r="709" spans="1:1" x14ac:dyDescent="0.25">
      <c r="A709">
        <v>703</v>
      </c>
    </row>
    <row r="710" spans="1:1" x14ac:dyDescent="0.25">
      <c r="A710">
        <v>704</v>
      </c>
    </row>
    <row r="711" spans="1:1" x14ac:dyDescent="0.25">
      <c r="A711">
        <v>705</v>
      </c>
    </row>
    <row r="712" spans="1:1" x14ac:dyDescent="0.25">
      <c r="A712">
        <v>706</v>
      </c>
    </row>
    <row r="713" spans="1:1" x14ac:dyDescent="0.25">
      <c r="A713">
        <v>707</v>
      </c>
    </row>
    <row r="714" spans="1:1" x14ac:dyDescent="0.25">
      <c r="A714">
        <v>708</v>
      </c>
    </row>
    <row r="715" spans="1:1" x14ac:dyDescent="0.25">
      <c r="A715">
        <v>709</v>
      </c>
    </row>
    <row r="716" spans="1:1" x14ac:dyDescent="0.25">
      <c r="A716">
        <v>710</v>
      </c>
    </row>
    <row r="717" spans="1:1" x14ac:dyDescent="0.25">
      <c r="A717">
        <v>711</v>
      </c>
    </row>
    <row r="718" spans="1:1" x14ac:dyDescent="0.25">
      <c r="A718">
        <v>712</v>
      </c>
    </row>
    <row r="719" spans="1:1" x14ac:dyDescent="0.25">
      <c r="A719">
        <v>713</v>
      </c>
    </row>
    <row r="720" spans="1:1" x14ac:dyDescent="0.25">
      <c r="A720">
        <v>714</v>
      </c>
    </row>
    <row r="721" spans="1:1" x14ac:dyDescent="0.25">
      <c r="A721">
        <v>715</v>
      </c>
    </row>
    <row r="722" spans="1:1" x14ac:dyDescent="0.25">
      <c r="A722">
        <v>716</v>
      </c>
    </row>
    <row r="723" spans="1:1" x14ac:dyDescent="0.25">
      <c r="A723">
        <v>717</v>
      </c>
    </row>
    <row r="724" spans="1:1" x14ac:dyDescent="0.25">
      <c r="A724">
        <v>718</v>
      </c>
    </row>
    <row r="725" spans="1:1" x14ac:dyDescent="0.25">
      <c r="A725">
        <v>719</v>
      </c>
    </row>
    <row r="726" spans="1:1" x14ac:dyDescent="0.25">
      <c r="A726">
        <v>720</v>
      </c>
    </row>
    <row r="727" spans="1:1" x14ac:dyDescent="0.25">
      <c r="A727">
        <v>721</v>
      </c>
    </row>
    <row r="728" spans="1:1" x14ac:dyDescent="0.25">
      <c r="A728">
        <v>722</v>
      </c>
    </row>
    <row r="729" spans="1:1" x14ac:dyDescent="0.25">
      <c r="A729">
        <v>723</v>
      </c>
    </row>
    <row r="730" spans="1:1" x14ac:dyDescent="0.25">
      <c r="A730">
        <v>724</v>
      </c>
    </row>
    <row r="731" spans="1:1" x14ac:dyDescent="0.25">
      <c r="A731">
        <v>725</v>
      </c>
    </row>
    <row r="732" spans="1:1" x14ac:dyDescent="0.25">
      <c r="A732">
        <v>726</v>
      </c>
    </row>
    <row r="733" spans="1:1" x14ac:dyDescent="0.25">
      <c r="A733">
        <v>727</v>
      </c>
    </row>
    <row r="734" spans="1:1" x14ac:dyDescent="0.25">
      <c r="A734">
        <v>728</v>
      </c>
    </row>
    <row r="735" spans="1:1" x14ac:dyDescent="0.25">
      <c r="A735">
        <v>729</v>
      </c>
    </row>
    <row r="736" spans="1:1" x14ac:dyDescent="0.25">
      <c r="A736">
        <v>730</v>
      </c>
    </row>
    <row r="737" spans="1:1" x14ac:dyDescent="0.25">
      <c r="A737">
        <v>731</v>
      </c>
    </row>
    <row r="738" spans="1:1" x14ac:dyDescent="0.25">
      <c r="A738">
        <v>732</v>
      </c>
    </row>
    <row r="739" spans="1:1" x14ac:dyDescent="0.25">
      <c r="A739">
        <v>733</v>
      </c>
    </row>
    <row r="740" spans="1:1" x14ac:dyDescent="0.25">
      <c r="A740">
        <v>734</v>
      </c>
    </row>
    <row r="741" spans="1:1" x14ac:dyDescent="0.25">
      <c r="A741">
        <v>735</v>
      </c>
    </row>
    <row r="742" spans="1:1" x14ac:dyDescent="0.25">
      <c r="A742">
        <v>736</v>
      </c>
    </row>
    <row r="743" spans="1:1" x14ac:dyDescent="0.25">
      <c r="A743">
        <v>737</v>
      </c>
    </row>
    <row r="744" spans="1:1" x14ac:dyDescent="0.25">
      <c r="A744">
        <v>738</v>
      </c>
    </row>
    <row r="745" spans="1:1" x14ac:dyDescent="0.25">
      <c r="A745">
        <v>739</v>
      </c>
    </row>
    <row r="746" spans="1:1" x14ac:dyDescent="0.25">
      <c r="A746">
        <v>740</v>
      </c>
    </row>
    <row r="747" spans="1:1" x14ac:dyDescent="0.25">
      <c r="A747">
        <v>741</v>
      </c>
    </row>
    <row r="748" spans="1:1" x14ac:dyDescent="0.25">
      <c r="A748">
        <v>742</v>
      </c>
    </row>
    <row r="749" spans="1:1" x14ac:dyDescent="0.25">
      <c r="A749">
        <v>743</v>
      </c>
    </row>
    <row r="750" spans="1:1" x14ac:dyDescent="0.25">
      <c r="A750">
        <v>744</v>
      </c>
    </row>
    <row r="751" spans="1:1" x14ac:dyDescent="0.25">
      <c r="A751">
        <v>745</v>
      </c>
    </row>
    <row r="752" spans="1:1" x14ac:dyDescent="0.25">
      <c r="A752">
        <v>746</v>
      </c>
    </row>
    <row r="753" spans="1:1" x14ac:dyDescent="0.25">
      <c r="A753">
        <v>747</v>
      </c>
    </row>
    <row r="754" spans="1:1" x14ac:dyDescent="0.25">
      <c r="A754">
        <v>748</v>
      </c>
    </row>
    <row r="755" spans="1:1" x14ac:dyDescent="0.25">
      <c r="A755">
        <v>749</v>
      </c>
    </row>
    <row r="756" spans="1:1" x14ac:dyDescent="0.25">
      <c r="A756">
        <v>750</v>
      </c>
    </row>
    <row r="757" spans="1:1" x14ac:dyDescent="0.25">
      <c r="A757">
        <v>751</v>
      </c>
    </row>
    <row r="758" spans="1:1" x14ac:dyDescent="0.25">
      <c r="A758">
        <v>752</v>
      </c>
    </row>
    <row r="759" spans="1:1" x14ac:dyDescent="0.25">
      <c r="A759">
        <v>753</v>
      </c>
    </row>
    <row r="760" spans="1:1" x14ac:dyDescent="0.25">
      <c r="A760">
        <v>754</v>
      </c>
    </row>
    <row r="761" spans="1:1" x14ac:dyDescent="0.25">
      <c r="A761">
        <v>755</v>
      </c>
    </row>
    <row r="762" spans="1:1" x14ac:dyDescent="0.25">
      <c r="A762">
        <v>756</v>
      </c>
    </row>
    <row r="763" spans="1:1" x14ac:dyDescent="0.25">
      <c r="A763">
        <v>757</v>
      </c>
    </row>
    <row r="764" spans="1:1" x14ac:dyDescent="0.25">
      <c r="A764">
        <v>758</v>
      </c>
    </row>
    <row r="765" spans="1:1" x14ac:dyDescent="0.25">
      <c r="A765">
        <v>759</v>
      </c>
    </row>
    <row r="766" spans="1:1" x14ac:dyDescent="0.25">
      <c r="A766">
        <v>760</v>
      </c>
    </row>
    <row r="767" spans="1:1" x14ac:dyDescent="0.25">
      <c r="A767">
        <v>761</v>
      </c>
    </row>
    <row r="768" spans="1:1" x14ac:dyDescent="0.25">
      <c r="A768">
        <v>762</v>
      </c>
    </row>
    <row r="769" spans="1:1" x14ac:dyDescent="0.25">
      <c r="A769">
        <v>763</v>
      </c>
    </row>
    <row r="770" spans="1:1" x14ac:dyDescent="0.25">
      <c r="A770">
        <v>764</v>
      </c>
    </row>
    <row r="771" spans="1:1" x14ac:dyDescent="0.25">
      <c r="A771">
        <v>765</v>
      </c>
    </row>
    <row r="772" spans="1:1" x14ac:dyDescent="0.25">
      <c r="A772">
        <v>766</v>
      </c>
    </row>
    <row r="773" spans="1:1" x14ac:dyDescent="0.25">
      <c r="A773">
        <v>767</v>
      </c>
    </row>
    <row r="774" spans="1:1" x14ac:dyDescent="0.25">
      <c r="A774">
        <v>768</v>
      </c>
    </row>
    <row r="775" spans="1:1" x14ac:dyDescent="0.25">
      <c r="A775">
        <v>769</v>
      </c>
    </row>
    <row r="776" spans="1:1" x14ac:dyDescent="0.25">
      <c r="A776">
        <v>770</v>
      </c>
    </row>
    <row r="777" spans="1:1" x14ac:dyDescent="0.25">
      <c r="A777">
        <v>771</v>
      </c>
    </row>
    <row r="778" spans="1:1" x14ac:dyDescent="0.25">
      <c r="A778">
        <v>772</v>
      </c>
    </row>
    <row r="779" spans="1:1" x14ac:dyDescent="0.25">
      <c r="A779">
        <v>773</v>
      </c>
    </row>
    <row r="780" spans="1:1" x14ac:dyDescent="0.25">
      <c r="A780">
        <v>774</v>
      </c>
    </row>
    <row r="781" spans="1:1" x14ac:dyDescent="0.25">
      <c r="A781">
        <v>775</v>
      </c>
    </row>
    <row r="782" spans="1:1" x14ac:dyDescent="0.25">
      <c r="A782">
        <v>776</v>
      </c>
    </row>
    <row r="783" spans="1:1" x14ac:dyDescent="0.25">
      <c r="A783">
        <v>777</v>
      </c>
    </row>
    <row r="784" spans="1:1" x14ac:dyDescent="0.25">
      <c r="A784">
        <v>778</v>
      </c>
    </row>
    <row r="785" spans="1:1" x14ac:dyDescent="0.25">
      <c r="A785">
        <v>779</v>
      </c>
    </row>
    <row r="786" spans="1:1" x14ac:dyDescent="0.25">
      <c r="A786">
        <v>780</v>
      </c>
    </row>
    <row r="787" spans="1:1" x14ac:dyDescent="0.25">
      <c r="A787">
        <v>781</v>
      </c>
    </row>
    <row r="788" spans="1:1" x14ac:dyDescent="0.25">
      <c r="A788">
        <v>782</v>
      </c>
    </row>
    <row r="789" spans="1:1" x14ac:dyDescent="0.25">
      <c r="A789">
        <v>783</v>
      </c>
    </row>
    <row r="790" spans="1:1" x14ac:dyDescent="0.25">
      <c r="A790">
        <v>784</v>
      </c>
    </row>
    <row r="791" spans="1:1" x14ac:dyDescent="0.25">
      <c r="A791">
        <v>785</v>
      </c>
    </row>
    <row r="792" spans="1:1" x14ac:dyDescent="0.25">
      <c r="A792">
        <v>786</v>
      </c>
    </row>
    <row r="793" spans="1:1" x14ac:dyDescent="0.25">
      <c r="A793">
        <v>787</v>
      </c>
    </row>
    <row r="794" spans="1:1" x14ac:dyDescent="0.25">
      <c r="A794">
        <v>788</v>
      </c>
    </row>
    <row r="795" spans="1:1" x14ac:dyDescent="0.25">
      <c r="A795">
        <v>789</v>
      </c>
    </row>
    <row r="796" spans="1:1" x14ac:dyDescent="0.25">
      <c r="A796">
        <v>790</v>
      </c>
    </row>
    <row r="797" spans="1:1" x14ac:dyDescent="0.25">
      <c r="A797">
        <v>791</v>
      </c>
    </row>
    <row r="798" spans="1:1" x14ac:dyDescent="0.25">
      <c r="A798">
        <v>792</v>
      </c>
    </row>
    <row r="799" spans="1:1" x14ac:dyDescent="0.25">
      <c r="A799">
        <v>793</v>
      </c>
    </row>
    <row r="800" spans="1:1" x14ac:dyDescent="0.25">
      <c r="A800">
        <v>794</v>
      </c>
    </row>
    <row r="801" spans="1:1" x14ac:dyDescent="0.25">
      <c r="A801">
        <v>795</v>
      </c>
    </row>
    <row r="802" spans="1:1" x14ac:dyDescent="0.25">
      <c r="A802">
        <v>796</v>
      </c>
    </row>
    <row r="803" spans="1:1" x14ac:dyDescent="0.25">
      <c r="A803">
        <v>797</v>
      </c>
    </row>
    <row r="804" spans="1:1" x14ac:dyDescent="0.25">
      <c r="A804">
        <v>798</v>
      </c>
    </row>
    <row r="805" spans="1:1" x14ac:dyDescent="0.25">
      <c r="A805">
        <v>799</v>
      </c>
    </row>
    <row r="806" spans="1:1" x14ac:dyDescent="0.25">
      <c r="A806">
        <v>800</v>
      </c>
    </row>
    <row r="807" spans="1:1" x14ac:dyDescent="0.25">
      <c r="A807">
        <v>801</v>
      </c>
    </row>
    <row r="808" spans="1:1" x14ac:dyDescent="0.25">
      <c r="A808">
        <v>802</v>
      </c>
    </row>
    <row r="809" spans="1:1" x14ac:dyDescent="0.25">
      <c r="A809">
        <v>803</v>
      </c>
    </row>
    <row r="810" spans="1:1" x14ac:dyDescent="0.25">
      <c r="A810">
        <v>804</v>
      </c>
    </row>
    <row r="811" spans="1:1" x14ac:dyDescent="0.25">
      <c r="A811">
        <v>805</v>
      </c>
    </row>
    <row r="812" spans="1:1" x14ac:dyDescent="0.25">
      <c r="A812">
        <v>806</v>
      </c>
    </row>
    <row r="813" spans="1:1" x14ac:dyDescent="0.25">
      <c r="A813">
        <v>807</v>
      </c>
    </row>
    <row r="814" spans="1:1" x14ac:dyDescent="0.25">
      <c r="A814">
        <v>808</v>
      </c>
    </row>
    <row r="815" spans="1:1" x14ac:dyDescent="0.25">
      <c r="A815">
        <v>809</v>
      </c>
    </row>
    <row r="816" spans="1:1" x14ac:dyDescent="0.25">
      <c r="A816">
        <v>810</v>
      </c>
    </row>
    <row r="817" spans="1:1" x14ac:dyDescent="0.25">
      <c r="A817">
        <v>811</v>
      </c>
    </row>
    <row r="818" spans="1:1" x14ac:dyDescent="0.25">
      <c r="A818">
        <v>812</v>
      </c>
    </row>
    <row r="819" spans="1:1" x14ac:dyDescent="0.25">
      <c r="A819">
        <v>813</v>
      </c>
    </row>
    <row r="820" spans="1:1" x14ac:dyDescent="0.25">
      <c r="A820">
        <v>814</v>
      </c>
    </row>
    <row r="821" spans="1:1" x14ac:dyDescent="0.25">
      <c r="A821">
        <v>815</v>
      </c>
    </row>
    <row r="822" spans="1:1" x14ac:dyDescent="0.25">
      <c r="A822">
        <v>816</v>
      </c>
    </row>
    <row r="823" spans="1:1" x14ac:dyDescent="0.25">
      <c r="A823">
        <v>817</v>
      </c>
    </row>
    <row r="824" spans="1:1" x14ac:dyDescent="0.25">
      <c r="A824">
        <v>818</v>
      </c>
    </row>
    <row r="825" spans="1:1" x14ac:dyDescent="0.25">
      <c r="A825">
        <v>819</v>
      </c>
    </row>
    <row r="826" spans="1:1" x14ac:dyDescent="0.25">
      <c r="A826">
        <v>820</v>
      </c>
    </row>
    <row r="827" spans="1:1" x14ac:dyDescent="0.25">
      <c r="A827">
        <v>821</v>
      </c>
    </row>
    <row r="828" spans="1:1" x14ac:dyDescent="0.25">
      <c r="A828">
        <v>822</v>
      </c>
    </row>
    <row r="829" spans="1:1" x14ac:dyDescent="0.25">
      <c r="A829">
        <v>823</v>
      </c>
    </row>
    <row r="830" spans="1:1" x14ac:dyDescent="0.25">
      <c r="A830">
        <v>824</v>
      </c>
    </row>
    <row r="831" spans="1:1" x14ac:dyDescent="0.25">
      <c r="A831">
        <v>825</v>
      </c>
    </row>
    <row r="832" spans="1:1" x14ac:dyDescent="0.25">
      <c r="A832">
        <v>826</v>
      </c>
    </row>
    <row r="833" spans="1:1" x14ac:dyDescent="0.25">
      <c r="A833">
        <v>827</v>
      </c>
    </row>
    <row r="834" spans="1:1" x14ac:dyDescent="0.25">
      <c r="A834">
        <v>828</v>
      </c>
    </row>
    <row r="835" spans="1:1" x14ac:dyDescent="0.25">
      <c r="A835">
        <v>829</v>
      </c>
    </row>
    <row r="836" spans="1:1" x14ac:dyDescent="0.25">
      <c r="A836">
        <v>830</v>
      </c>
    </row>
    <row r="837" spans="1:1" x14ac:dyDescent="0.25">
      <c r="A837">
        <v>831</v>
      </c>
    </row>
    <row r="838" spans="1:1" x14ac:dyDescent="0.25">
      <c r="A838">
        <v>832</v>
      </c>
    </row>
    <row r="839" spans="1:1" x14ac:dyDescent="0.25">
      <c r="A839">
        <v>833</v>
      </c>
    </row>
    <row r="840" spans="1:1" x14ac:dyDescent="0.25">
      <c r="A840">
        <v>834</v>
      </c>
    </row>
    <row r="841" spans="1:1" x14ac:dyDescent="0.25">
      <c r="A841">
        <v>835</v>
      </c>
    </row>
    <row r="842" spans="1:1" x14ac:dyDescent="0.25">
      <c r="A842">
        <v>836</v>
      </c>
    </row>
    <row r="843" spans="1:1" x14ac:dyDescent="0.25">
      <c r="A843">
        <v>837</v>
      </c>
    </row>
    <row r="844" spans="1:1" x14ac:dyDescent="0.25">
      <c r="A844">
        <v>838</v>
      </c>
    </row>
    <row r="845" spans="1:1" x14ac:dyDescent="0.25">
      <c r="A845">
        <v>839</v>
      </c>
    </row>
    <row r="846" spans="1:1" x14ac:dyDescent="0.25">
      <c r="A846">
        <v>840</v>
      </c>
    </row>
    <row r="847" spans="1:1" x14ac:dyDescent="0.25">
      <c r="A847">
        <v>841</v>
      </c>
    </row>
    <row r="848" spans="1:1" x14ac:dyDescent="0.25">
      <c r="A848">
        <v>842</v>
      </c>
    </row>
    <row r="849" spans="1:1" x14ac:dyDescent="0.25">
      <c r="A849">
        <v>843</v>
      </c>
    </row>
    <row r="850" spans="1:1" x14ac:dyDescent="0.25">
      <c r="A850">
        <v>844</v>
      </c>
    </row>
    <row r="851" spans="1:1" x14ac:dyDescent="0.25">
      <c r="A851">
        <v>845</v>
      </c>
    </row>
    <row r="852" spans="1:1" x14ac:dyDescent="0.25">
      <c r="A852">
        <v>846</v>
      </c>
    </row>
    <row r="853" spans="1:1" x14ac:dyDescent="0.25">
      <c r="A853">
        <v>847</v>
      </c>
    </row>
    <row r="854" spans="1:1" x14ac:dyDescent="0.25">
      <c r="A854">
        <v>848</v>
      </c>
    </row>
    <row r="855" spans="1:1" x14ac:dyDescent="0.25">
      <c r="A855">
        <v>849</v>
      </c>
    </row>
    <row r="856" spans="1:1" x14ac:dyDescent="0.25">
      <c r="A856">
        <v>850</v>
      </c>
    </row>
    <row r="857" spans="1:1" x14ac:dyDescent="0.25">
      <c r="A857">
        <v>851</v>
      </c>
    </row>
    <row r="858" spans="1:1" x14ac:dyDescent="0.25">
      <c r="A858">
        <v>852</v>
      </c>
    </row>
    <row r="859" spans="1:1" x14ac:dyDescent="0.25">
      <c r="A859">
        <v>853</v>
      </c>
    </row>
    <row r="860" spans="1:1" x14ac:dyDescent="0.25">
      <c r="A860">
        <v>854</v>
      </c>
    </row>
    <row r="861" spans="1:1" x14ac:dyDescent="0.25">
      <c r="A861">
        <v>855</v>
      </c>
    </row>
    <row r="862" spans="1:1" x14ac:dyDescent="0.25">
      <c r="A862">
        <v>856</v>
      </c>
    </row>
    <row r="863" spans="1:1" x14ac:dyDescent="0.25">
      <c r="A863">
        <v>857</v>
      </c>
    </row>
    <row r="864" spans="1:1" x14ac:dyDescent="0.25">
      <c r="A864">
        <v>858</v>
      </c>
    </row>
    <row r="865" spans="1:1" x14ac:dyDescent="0.25">
      <c r="A865">
        <v>859</v>
      </c>
    </row>
    <row r="866" spans="1:1" x14ac:dyDescent="0.25">
      <c r="A866">
        <v>860</v>
      </c>
    </row>
    <row r="867" spans="1:1" x14ac:dyDescent="0.25">
      <c r="A867">
        <v>861</v>
      </c>
    </row>
    <row r="868" spans="1:1" x14ac:dyDescent="0.25">
      <c r="A868">
        <v>862</v>
      </c>
    </row>
    <row r="869" spans="1:1" x14ac:dyDescent="0.25">
      <c r="A869">
        <v>863</v>
      </c>
    </row>
    <row r="870" spans="1:1" x14ac:dyDescent="0.25">
      <c r="A870">
        <v>864</v>
      </c>
    </row>
    <row r="871" spans="1:1" x14ac:dyDescent="0.25">
      <c r="A871">
        <v>865</v>
      </c>
    </row>
    <row r="872" spans="1:1" x14ac:dyDescent="0.25">
      <c r="A872">
        <v>866</v>
      </c>
    </row>
    <row r="873" spans="1:1" x14ac:dyDescent="0.25">
      <c r="A873">
        <v>867</v>
      </c>
    </row>
    <row r="874" spans="1:1" x14ac:dyDescent="0.25">
      <c r="A874">
        <v>868</v>
      </c>
    </row>
    <row r="875" spans="1:1" x14ac:dyDescent="0.25">
      <c r="A875">
        <v>869</v>
      </c>
    </row>
    <row r="876" spans="1:1" x14ac:dyDescent="0.25">
      <c r="A876">
        <v>870</v>
      </c>
    </row>
    <row r="877" spans="1:1" x14ac:dyDescent="0.25">
      <c r="A877">
        <v>871</v>
      </c>
    </row>
    <row r="878" spans="1:1" x14ac:dyDescent="0.25">
      <c r="A878">
        <v>872</v>
      </c>
    </row>
    <row r="879" spans="1:1" x14ac:dyDescent="0.25">
      <c r="A879">
        <v>873</v>
      </c>
    </row>
    <row r="880" spans="1:1" x14ac:dyDescent="0.25">
      <c r="A880">
        <v>874</v>
      </c>
    </row>
    <row r="881" spans="1:1" x14ac:dyDescent="0.25">
      <c r="A881">
        <v>875</v>
      </c>
    </row>
    <row r="882" spans="1:1" x14ac:dyDescent="0.25">
      <c r="A882">
        <v>876</v>
      </c>
    </row>
    <row r="883" spans="1:1" x14ac:dyDescent="0.25">
      <c r="A883">
        <v>877</v>
      </c>
    </row>
    <row r="884" spans="1:1" x14ac:dyDescent="0.25">
      <c r="A884">
        <v>878</v>
      </c>
    </row>
    <row r="885" spans="1:1" x14ac:dyDescent="0.25">
      <c r="A885">
        <v>879</v>
      </c>
    </row>
    <row r="886" spans="1:1" x14ac:dyDescent="0.25">
      <c r="A886">
        <v>880</v>
      </c>
    </row>
    <row r="887" spans="1:1" x14ac:dyDescent="0.25">
      <c r="A887">
        <v>881</v>
      </c>
    </row>
    <row r="888" spans="1:1" x14ac:dyDescent="0.25">
      <c r="A888">
        <v>882</v>
      </c>
    </row>
    <row r="889" spans="1:1" x14ac:dyDescent="0.25">
      <c r="A889">
        <v>883</v>
      </c>
    </row>
    <row r="890" spans="1:1" x14ac:dyDescent="0.25">
      <c r="A890">
        <v>884</v>
      </c>
    </row>
    <row r="891" spans="1:1" x14ac:dyDescent="0.25">
      <c r="A891">
        <v>885</v>
      </c>
    </row>
    <row r="892" spans="1:1" x14ac:dyDescent="0.25">
      <c r="A892">
        <v>886</v>
      </c>
    </row>
    <row r="893" spans="1:1" x14ac:dyDescent="0.25">
      <c r="A893">
        <v>887</v>
      </c>
    </row>
    <row r="894" spans="1:1" x14ac:dyDescent="0.25">
      <c r="A894">
        <v>888</v>
      </c>
    </row>
    <row r="895" spans="1:1" x14ac:dyDescent="0.25">
      <c r="A895">
        <v>889</v>
      </c>
    </row>
    <row r="896" spans="1:1" x14ac:dyDescent="0.25">
      <c r="A896">
        <v>890</v>
      </c>
    </row>
    <row r="897" spans="1:1" x14ac:dyDescent="0.25">
      <c r="A897">
        <v>891</v>
      </c>
    </row>
    <row r="898" spans="1:1" x14ac:dyDescent="0.25">
      <c r="A898">
        <v>892</v>
      </c>
    </row>
    <row r="899" spans="1:1" x14ac:dyDescent="0.25">
      <c r="A899">
        <v>893</v>
      </c>
    </row>
    <row r="900" spans="1:1" x14ac:dyDescent="0.25">
      <c r="A900">
        <v>894</v>
      </c>
    </row>
    <row r="901" spans="1:1" x14ac:dyDescent="0.25">
      <c r="A901">
        <v>895</v>
      </c>
    </row>
    <row r="902" spans="1:1" x14ac:dyDescent="0.25">
      <c r="A902">
        <v>896</v>
      </c>
    </row>
    <row r="903" spans="1:1" x14ac:dyDescent="0.25">
      <c r="A903">
        <v>897</v>
      </c>
    </row>
    <row r="904" spans="1:1" x14ac:dyDescent="0.25">
      <c r="A904">
        <v>898</v>
      </c>
    </row>
    <row r="905" spans="1:1" x14ac:dyDescent="0.25">
      <c r="A905">
        <v>899</v>
      </c>
    </row>
    <row r="906" spans="1:1" x14ac:dyDescent="0.25">
      <c r="A906">
        <v>900</v>
      </c>
    </row>
    <row r="907" spans="1:1" x14ac:dyDescent="0.25">
      <c r="A907">
        <v>901</v>
      </c>
    </row>
    <row r="908" spans="1:1" x14ac:dyDescent="0.25">
      <c r="A908">
        <v>902</v>
      </c>
    </row>
    <row r="909" spans="1:1" x14ac:dyDescent="0.25">
      <c r="A909">
        <v>903</v>
      </c>
    </row>
    <row r="910" spans="1:1" x14ac:dyDescent="0.25">
      <c r="A910">
        <v>904</v>
      </c>
    </row>
    <row r="911" spans="1:1" x14ac:dyDescent="0.25">
      <c r="A911">
        <v>905</v>
      </c>
    </row>
    <row r="912" spans="1:1" x14ac:dyDescent="0.25">
      <c r="A912">
        <v>906</v>
      </c>
    </row>
    <row r="913" spans="1:1" x14ac:dyDescent="0.25">
      <c r="A913">
        <v>907</v>
      </c>
    </row>
    <row r="914" spans="1:1" x14ac:dyDescent="0.25">
      <c r="A914">
        <v>908</v>
      </c>
    </row>
    <row r="915" spans="1:1" x14ac:dyDescent="0.25">
      <c r="A915">
        <v>909</v>
      </c>
    </row>
    <row r="916" spans="1:1" x14ac:dyDescent="0.25">
      <c r="A916">
        <v>910</v>
      </c>
    </row>
    <row r="917" spans="1:1" x14ac:dyDescent="0.25">
      <c r="A917">
        <v>911</v>
      </c>
    </row>
    <row r="918" spans="1:1" x14ac:dyDescent="0.25">
      <c r="A918">
        <v>912</v>
      </c>
    </row>
    <row r="919" spans="1:1" x14ac:dyDescent="0.25">
      <c r="A919">
        <v>913</v>
      </c>
    </row>
    <row r="920" spans="1:1" x14ac:dyDescent="0.25">
      <c r="A920">
        <v>914</v>
      </c>
    </row>
    <row r="921" spans="1:1" x14ac:dyDescent="0.25">
      <c r="A921">
        <v>915</v>
      </c>
    </row>
    <row r="922" spans="1:1" x14ac:dyDescent="0.25">
      <c r="A922">
        <v>916</v>
      </c>
    </row>
    <row r="923" spans="1:1" x14ac:dyDescent="0.25">
      <c r="A923">
        <v>917</v>
      </c>
    </row>
    <row r="924" spans="1:1" x14ac:dyDescent="0.25">
      <c r="A924">
        <v>918</v>
      </c>
    </row>
    <row r="925" spans="1:1" x14ac:dyDescent="0.25">
      <c r="A925">
        <v>919</v>
      </c>
    </row>
    <row r="926" spans="1:1" x14ac:dyDescent="0.25">
      <c r="A926">
        <v>920</v>
      </c>
    </row>
    <row r="927" spans="1:1" x14ac:dyDescent="0.25">
      <c r="A927">
        <v>921</v>
      </c>
    </row>
    <row r="928" spans="1:1" x14ac:dyDescent="0.25">
      <c r="A928">
        <v>922</v>
      </c>
    </row>
    <row r="929" spans="1:1" x14ac:dyDescent="0.25">
      <c r="A929">
        <v>923</v>
      </c>
    </row>
    <row r="930" spans="1:1" x14ac:dyDescent="0.25">
      <c r="A930">
        <v>924</v>
      </c>
    </row>
    <row r="931" spans="1:1" x14ac:dyDescent="0.25">
      <c r="A931">
        <v>925</v>
      </c>
    </row>
    <row r="932" spans="1:1" x14ac:dyDescent="0.25">
      <c r="A932">
        <v>926</v>
      </c>
    </row>
    <row r="933" spans="1:1" x14ac:dyDescent="0.25">
      <c r="A933">
        <v>927</v>
      </c>
    </row>
    <row r="934" spans="1:1" x14ac:dyDescent="0.25">
      <c r="A934">
        <v>928</v>
      </c>
    </row>
    <row r="935" spans="1:1" x14ac:dyDescent="0.25">
      <c r="A935">
        <v>929</v>
      </c>
    </row>
    <row r="936" spans="1:1" x14ac:dyDescent="0.25">
      <c r="A936">
        <v>930</v>
      </c>
    </row>
    <row r="937" spans="1:1" x14ac:dyDescent="0.25">
      <c r="A937">
        <v>931</v>
      </c>
    </row>
    <row r="938" spans="1:1" x14ac:dyDescent="0.25">
      <c r="A938">
        <v>932</v>
      </c>
    </row>
    <row r="939" spans="1:1" x14ac:dyDescent="0.25">
      <c r="A939">
        <v>933</v>
      </c>
    </row>
    <row r="940" spans="1:1" x14ac:dyDescent="0.25">
      <c r="A940">
        <v>934</v>
      </c>
    </row>
    <row r="941" spans="1:1" x14ac:dyDescent="0.25">
      <c r="A941">
        <v>935</v>
      </c>
    </row>
    <row r="942" spans="1:1" x14ac:dyDescent="0.25">
      <c r="A942">
        <v>936</v>
      </c>
    </row>
    <row r="943" spans="1:1" x14ac:dyDescent="0.25">
      <c r="A943">
        <v>937</v>
      </c>
    </row>
    <row r="944" spans="1:1" x14ac:dyDescent="0.25">
      <c r="A944">
        <v>938</v>
      </c>
    </row>
    <row r="945" spans="1:1" x14ac:dyDescent="0.25">
      <c r="A945">
        <v>939</v>
      </c>
    </row>
    <row r="946" spans="1:1" x14ac:dyDescent="0.25">
      <c r="A946">
        <v>940</v>
      </c>
    </row>
    <row r="947" spans="1:1" x14ac:dyDescent="0.25">
      <c r="A947">
        <v>941</v>
      </c>
    </row>
    <row r="948" spans="1:1" x14ac:dyDescent="0.25">
      <c r="A948">
        <v>942</v>
      </c>
    </row>
    <row r="949" spans="1:1" x14ac:dyDescent="0.25">
      <c r="A949">
        <v>943</v>
      </c>
    </row>
    <row r="950" spans="1:1" x14ac:dyDescent="0.25">
      <c r="A950">
        <v>944</v>
      </c>
    </row>
    <row r="951" spans="1:1" x14ac:dyDescent="0.25">
      <c r="A951">
        <v>945</v>
      </c>
    </row>
    <row r="952" spans="1:1" x14ac:dyDescent="0.25">
      <c r="A952">
        <v>946</v>
      </c>
    </row>
    <row r="953" spans="1:1" x14ac:dyDescent="0.25">
      <c r="A953">
        <v>947</v>
      </c>
    </row>
    <row r="954" spans="1:1" x14ac:dyDescent="0.25">
      <c r="A954">
        <v>948</v>
      </c>
    </row>
    <row r="955" spans="1:1" x14ac:dyDescent="0.25">
      <c r="A955">
        <v>949</v>
      </c>
    </row>
    <row r="956" spans="1:1" x14ac:dyDescent="0.25">
      <c r="A956">
        <v>950</v>
      </c>
    </row>
    <row r="957" spans="1:1" x14ac:dyDescent="0.25">
      <c r="A957">
        <v>951</v>
      </c>
    </row>
    <row r="958" spans="1:1" x14ac:dyDescent="0.25">
      <c r="A958">
        <v>952</v>
      </c>
    </row>
    <row r="959" spans="1:1" x14ac:dyDescent="0.25">
      <c r="A959">
        <v>953</v>
      </c>
    </row>
    <row r="960" spans="1:1" x14ac:dyDescent="0.25">
      <c r="A960">
        <v>954</v>
      </c>
    </row>
    <row r="961" spans="1:1" x14ac:dyDescent="0.25">
      <c r="A961">
        <v>955</v>
      </c>
    </row>
    <row r="962" spans="1:1" x14ac:dyDescent="0.25">
      <c r="A962">
        <v>956</v>
      </c>
    </row>
    <row r="963" spans="1:1" x14ac:dyDescent="0.25">
      <c r="A963">
        <v>957</v>
      </c>
    </row>
    <row r="964" spans="1:1" x14ac:dyDescent="0.25">
      <c r="A964">
        <v>958</v>
      </c>
    </row>
    <row r="965" spans="1:1" x14ac:dyDescent="0.25">
      <c r="A965">
        <v>959</v>
      </c>
    </row>
    <row r="966" spans="1:1" x14ac:dyDescent="0.25">
      <c r="A966">
        <v>960</v>
      </c>
    </row>
    <row r="967" spans="1:1" x14ac:dyDescent="0.25">
      <c r="A967">
        <v>961</v>
      </c>
    </row>
    <row r="968" spans="1:1" x14ac:dyDescent="0.25">
      <c r="A968">
        <v>962</v>
      </c>
    </row>
    <row r="969" spans="1:1" x14ac:dyDescent="0.25">
      <c r="A969">
        <v>963</v>
      </c>
    </row>
    <row r="970" spans="1:1" x14ac:dyDescent="0.25">
      <c r="A970">
        <v>964</v>
      </c>
    </row>
    <row r="971" spans="1:1" x14ac:dyDescent="0.25">
      <c r="A971">
        <v>965</v>
      </c>
    </row>
    <row r="972" spans="1:1" x14ac:dyDescent="0.25">
      <c r="A972">
        <v>966</v>
      </c>
    </row>
    <row r="973" spans="1:1" x14ac:dyDescent="0.25">
      <c r="A973">
        <v>967</v>
      </c>
    </row>
    <row r="974" spans="1:1" x14ac:dyDescent="0.25">
      <c r="A974">
        <v>968</v>
      </c>
    </row>
    <row r="975" spans="1:1" x14ac:dyDescent="0.25">
      <c r="A975">
        <v>969</v>
      </c>
    </row>
    <row r="976" spans="1:1" x14ac:dyDescent="0.25">
      <c r="A976">
        <v>970</v>
      </c>
    </row>
    <row r="977" spans="1:1" x14ac:dyDescent="0.25">
      <c r="A977">
        <v>971</v>
      </c>
    </row>
    <row r="978" spans="1:1" x14ac:dyDescent="0.25">
      <c r="A978">
        <v>972</v>
      </c>
    </row>
    <row r="979" spans="1:1" x14ac:dyDescent="0.25">
      <c r="A979">
        <v>973</v>
      </c>
    </row>
    <row r="980" spans="1:1" x14ac:dyDescent="0.25">
      <c r="A980">
        <v>974</v>
      </c>
    </row>
    <row r="981" spans="1:1" x14ac:dyDescent="0.25">
      <c r="A981">
        <v>975</v>
      </c>
    </row>
    <row r="982" spans="1:1" x14ac:dyDescent="0.25">
      <c r="A982">
        <v>976</v>
      </c>
    </row>
    <row r="983" spans="1:1" x14ac:dyDescent="0.25">
      <c r="A983">
        <v>977</v>
      </c>
    </row>
    <row r="984" spans="1:1" x14ac:dyDescent="0.25">
      <c r="A984">
        <v>978</v>
      </c>
    </row>
    <row r="985" spans="1:1" x14ac:dyDescent="0.25">
      <c r="A985">
        <v>979</v>
      </c>
    </row>
    <row r="986" spans="1:1" x14ac:dyDescent="0.25">
      <c r="A986">
        <v>980</v>
      </c>
    </row>
    <row r="987" spans="1:1" x14ac:dyDescent="0.25">
      <c r="A987">
        <v>981</v>
      </c>
    </row>
    <row r="988" spans="1:1" x14ac:dyDescent="0.25">
      <c r="A988">
        <v>982</v>
      </c>
    </row>
    <row r="989" spans="1:1" x14ac:dyDescent="0.25">
      <c r="A989">
        <v>983</v>
      </c>
    </row>
    <row r="990" spans="1:1" x14ac:dyDescent="0.25">
      <c r="A990">
        <v>984</v>
      </c>
    </row>
    <row r="991" spans="1:1" x14ac:dyDescent="0.25">
      <c r="A991">
        <v>985</v>
      </c>
    </row>
    <row r="992" spans="1:1" x14ac:dyDescent="0.25">
      <c r="A992">
        <v>986</v>
      </c>
    </row>
    <row r="993" spans="1:2" x14ac:dyDescent="0.25">
      <c r="A993">
        <v>987</v>
      </c>
    </row>
    <row r="994" spans="1:2" x14ac:dyDescent="0.25">
      <c r="A994">
        <v>988</v>
      </c>
    </row>
    <row r="995" spans="1:2" x14ac:dyDescent="0.25">
      <c r="A995">
        <v>989</v>
      </c>
    </row>
    <row r="996" spans="1:2" x14ac:dyDescent="0.25">
      <c r="A996">
        <v>990</v>
      </c>
    </row>
    <row r="997" spans="1:2" x14ac:dyDescent="0.25">
      <c r="A997">
        <v>991</v>
      </c>
    </row>
    <row r="998" spans="1:2" x14ac:dyDescent="0.25">
      <c r="A998">
        <v>992</v>
      </c>
    </row>
    <row r="999" spans="1:2" x14ac:dyDescent="0.25">
      <c r="A999">
        <v>993</v>
      </c>
    </row>
    <row r="1000" spans="1:2" x14ac:dyDescent="0.25">
      <c r="A1000">
        <v>994</v>
      </c>
    </row>
    <row r="1001" spans="1:2" x14ac:dyDescent="0.25">
      <c r="A1001">
        <v>995</v>
      </c>
    </row>
    <row r="1002" spans="1:2" x14ac:dyDescent="0.25">
      <c r="A1002">
        <v>996</v>
      </c>
    </row>
    <row r="1003" spans="1:2" x14ac:dyDescent="0.25">
      <c r="A1003">
        <v>997</v>
      </c>
    </row>
    <row r="1004" spans="1:2" x14ac:dyDescent="0.25">
      <c r="A1004">
        <v>998</v>
      </c>
    </row>
    <row r="1005" spans="1:2" x14ac:dyDescent="0.25">
      <c r="A1005">
        <v>999</v>
      </c>
    </row>
    <row r="1006" spans="1:2" x14ac:dyDescent="0.25">
      <c r="A1006">
        <v>1000</v>
      </c>
    </row>
    <row r="1008" spans="1:2" x14ac:dyDescent="0.25">
      <c r="B1008" s="52"/>
    </row>
  </sheetData>
  <sheetProtection sheet="1" objects="1" scenarios="1"/>
  <autoFilter ref="A1:M1006"/>
  <dataValidations count="1">
    <dataValidation type="list" allowBlank="1" showInputMessage="1" showErrorMessage="1" sqref="Q1">
      <formula1>INDIRECT("anone1")</formula1>
    </dataValidation>
  </dataValidations>
  <pageMargins left="0.7" right="0.7" top="0.78740157499999996" bottom="0.78740157499999996"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4"/>
  <sheetViews>
    <sheetView showGridLines="0" zoomScaleNormal="100" workbookViewId="0">
      <selection activeCell="B4" sqref="B4"/>
    </sheetView>
  </sheetViews>
  <sheetFormatPr defaultRowHeight="15" x14ac:dyDescent="0.25"/>
  <cols>
    <col min="1" max="1" width="113.85546875" style="1" customWidth="1"/>
    <col min="2" max="2" width="18.85546875" customWidth="1"/>
    <col min="3" max="3" width="17.85546875" customWidth="1"/>
    <col min="4" max="4" width="13.28515625" customWidth="1"/>
    <col min="5" max="6" width="9.140625" customWidth="1"/>
    <col min="7" max="7" width="18.5703125" hidden="1" customWidth="1"/>
  </cols>
  <sheetData>
    <row r="1" spans="1:2" ht="65.099999999999994" customHeight="1" x14ac:dyDescent="0.25">
      <c r="A1" s="122" t="str">
        <f>CONCATENATE("M-EXP3 – ",VLOOKUP(23,Lang!$A$6:$K$1006,Lang!$M$1+1,FALSE))</f>
        <v xml:space="preserve">M-EXP3 – Rozdíl počtu tropických nocí ve sledovaném roce oproti dlouhodobému průměru                                                                       </v>
      </c>
      <c r="B1" s="122"/>
    </row>
    <row r="2" spans="1:2" ht="28.5" customHeight="1" x14ac:dyDescent="0.25">
      <c r="A2" s="88" t="str">
        <f>VLOOKUP(130,Lang!$A$6:$K$1006,Lang!$M$1+1,FALSE)</f>
        <v>Metodický list indikátoru</v>
      </c>
    </row>
    <row r="4" spans="1:2" x14ac:dyDescent="0.25">
      <c r="A4" s="6" t="str">
        <f>VLOOKUP(132,Lang!$A$6:$K$1006,Lang!$M$1+1,FALSE)</f>
        <v>Rozdíl počtu tropických nocí</v>
      </c>
      <c r="B4" s="149"/>
    </row>
  </sheetData>
  <sheetProtection sheet="1" objects="1" scenarios="1"/>
  <mergeCells count="1">
    <mergeCell ref="A1:B1"/>
  </mergeCells>
  <dataValidations count="1">
    <dataValidation type="decimal" allowBlank="1" showInputMessage="1" showErrorMessage="1" errorTitle="Chybný vstup" error="Přípustnou hodnotou je celé číslo v intervalu - 366; +366" sqref="B4">
      <formula1>-366</formula1>
      <formula2>366</formula2>
    </dataValidation>
  </dataValidations>
  <hyperlinks>
    <hyperlink ref="A2" r:id="rId1" tooltip="stáhnout metodický list indikátoru" display="Metodický list indikátoru"/>
  </hyperlinks>
  <pageMargins left="0.7" right="0.7" top="0.78740157499999996" bottom="0.78740157499999996"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5"/>
  <sheetViews>
    <sheetView showGridLines="0" workbookViewId="0">
      <selection activeCell="B4" sqref="B4"/>
    </sheetView>
  </sheetViews>
  <sheetFormatPr defaultRowHeight="15" x14ac:dyDescent="0.25"/>
  <cols>
    <col min="1" max="1" width="100.85546875" style="1" customWidth="1"/>
    <col min="2" max="2" width="23.140625" customWidth="1"/>
    <col min="3" max="3" width="17.85546875" customWidth="1"/>
    <col min="4" max="4" width="13.28515625" customWidth="1"/>
    <col min="5" max="5" width="9.140625" customWidth="1"/>
    <col min="6" max="6" width="16.42578125" customWidth="1"/>
  </cols>
  <sheetData>
    <row r="1" spans="1:2" ht="51.75" customHeight="1" x14ac:dyDescent="0.25">
      <c r="A1" s="122" t="str">
        <f>CONCATENATE("M-EXP4 – ",VLOOKUP(24,Lang!$A$6:$K$1006,Lang!$M$1+1,FALSE))</f>
        <v>M-EXP4 – Největší počet po sobě jdoucích kalendářních dní bez srážek oproti dlouhodobému průměru</v>
      </c>
      <c r="B1" s="122"/>
    </row>
    <row r="2" spans="1:2" ht="28.5" customHeight="1" x14ac:dyDescent="0.25">
      <c r="A2" s="88" t="str">
        <f>VLOOKUP(130,Lang!$A$6:$K$1006,Lang!$M$1+1,FALSE)</f>
        <v>Metodický list indikátoru</v>
      </c>
    </row>
    <row r="4" spans="1:2" s="49" customFormat="1" x14ac:dyDescent="0.25">
      <c r="A4" s="6" t="str">
        <f>VLOOKUP(133,Lang!$A$6:$K$1006,Lang!$M$1+1,FALSE)</f>
        <v>Největší počet po sobě jdoucích dnů bez srážek</v>
      </c>
      <c r="B4" s="151"/>
    </row>
    <row r="13" spans="1:2" x14ac:dyDescent="0.25">
      <c r="A13" s="18"/>
    </row>
    <row r="14" spans="1:2" x14ac:dyDescent="0.25">
      <c r="A14" s="19"/>
    </row>
    <row r="15" spans="1:2" x14ac:dyDescent="0.25">
      <c r="A15" s="19"/>
    </row>
  </sheetData>
  <sheetProtection sheet="1" objects="1" scenarios="1"/>
  <mergeCells count="1">
    <mergeCell ref="A1:B1"/>
  </mergeCells>
  <dataValidations count="1">
    <dataValidation type="whole" allowBlank="1" showInputMessage="1" showErrorMessage="1" errorTitle="Chybný vstup" error="Přípustnou hodnotou je celé číslo v intervalu 0; +366" sqref="B4">
      <formula1>0</formula1>
      <formula2>366</formula2>
    </dataValidation>
  </dataValidations>
  <hyperlinks>
    <hyperlink ref="A2" r:id="rId1" tooltip="stáhnout metodický list indikátoru" display="Metodický list indikátoru"/>
  </hyperlinks>
  <pageMargins left="0.7" right="0.7" top="0.78740157499999996" bottom="0.78740157499999996" header="0.3" footer="0.3"/>
  <pageSetup paperSize="9" orientation="portrait" horizontalDpi="300" verticalDpi="30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5"/>
  <sheetViews>
    <sheetView showGridLines="0" workbookViewId="0">
      <selection activeCell="B4" sqref="B4"/>
    </sheetView>
  </sheetViews>
  <sheetFormatPr defaultRowHeight="15" x14ac:dyDescent="0.25"/>
  <cols>
    <col min="1" max="1" width="103.5703125" style="1" customWidth="1"/>
    <col min="2" max="2" width="23.28515625" customWidth="1"/>
    <col min="3" max="3" width="17.85546875" customWidth="1"/>
    <col min="4" max="4" width="13.28515625" customWidth="1"/>
    <col min="5" max="6" width="9.140625" customWidth="1"/>
    <col min="7" max="7" width="16.42578125" customWidth="1"/>
  </cols>
  <sheetData>
    <row r="1" spans="1:2" ht="21" x14ac:dyDescent="0.25">
      <c r="A1" s="122" t="str">
        <f>CONCATENATE("M-EXP5 – ",VLOOKUP(25,Lang!$A$6:$K$1006,Lang!$M$1+1,FALSE))</f>
        <v>M-EXP5 – Počet epizod přívalových povodní v minulosti za posledních 5 let</v>
      </c>
      <c r="B1" s="122"/>
    </row>
    <row r="2" spans="1:2" ht="28.5" customHeight="1" x14ac:dyDescent="0.25">
      <c r="A2" s="88" t="str">
        <f>VLOOKUP(130,Lang!$A$6:$K$1006,Lang!$M$1+1,FALSE)</f>
        <v>Metodický list indikátoru</v>
      </c>
    </row>
    <row r="4" spans="1:2" x14ac:dyDescent="0.25">
      <c r="A4" s="6" t="str">
        <f>VLOOKUP(134,Lang!$A$6:$K$1006,Lang!$M$1+1,FALSE)</f>
        <v>Počet epizod přívalových povodní</v>
      </c>
      <c r="B4" s="149"/>
    </row>
    <row r="13" spans="1:2" x14ac:dyDescent="0.25">
      <c r="A13" s="18"/>
    </row>
    <row r="14" spans="1:2" x14ac:dyDescent="0.25">
      <c r="A14" s="19"/>
    </row>
    <row r="15" spans="1:2" x14ac:dyDescent="0.25">
      <c r="A15" s="19"/>
    </row>
  </sheetData>
  <sheetProtection sheet="1" objects="1" scenarios="1"/>
  <mergeCells count="1">
    <mergeCell ref="A1:B1"/>
  </mergeCells>
  <dataValidations count="1">
    <dataValidation type="whole" allowBlank="1" showInputMessage="1" showErrorMessage="1" errorTitle="Chybný vstup" error="Přípustnou hodnotou je celé číslo v intervalu 0; 100" sqref="B4">
      <formula1>0</formula1>
      <formula2>100</formula2>
    </dataValidation>
  </dataValidations>
  <hyperlinks>
    <hyperlink ref="A2" r:id="rId1" tooltip="stáhnout metodický list indikátoru" display="Metodický list indikátoru"/>
  </hyperlinks>
  <pageMargins left="0.7" right="0.7" top="0.78740157499999996" bottom="0.78740157499999996"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5"/>
  <sheetViews>
    <sheetView showGridLines="0" workbookViewId="0">
      <selection activeCell="B26" sqref="B26"/>
    </sheetView>
  </sheetViews>
  <sheetFormatPr defaultRowHeight="15" x14ac:dyDescent="0.25"/>
  <cols>
    <col min="1" max="1" width="105.28515625" style="1" customWidth="1"/>
    <col min="2" max="2" width="23.140625" customWidth="1"/>
    <col min="3" max="3" width="17.85546875" customWidth="1"/>
    <col min="4" max="4" width="13.28515625" customWidth="1"/>
    <col min="5" max="5" width="9.140625" customWidth="1"/>
    <col min="6" max="6" width="16.42578125" customWidth="1"/>
  </cols>
  <sheetData>
    <row r="1" spans="1:2" ht="21" x14ac:dyDescent="0.25">
      <c r="A1" s="122" t="str">
        <f>CONCATENATE("M-EXP6 – ",VLOOKUP(26,Lang!$A$6:$K$1006,Lang!$M$1+1,FALSE))</f>
        <v>M-EXP6 – Četnost říčních záplav, kdy dochází k vybřežení toku za posledních 5 let</v>
      </c>
      <c r="B1" s="122"/>
    </row>
    <row r="2" spans="1:2" ht="28.5" customHeight="1" x14ac:dyDescent="0.25">
      <c r="A2" s="88" t="str">
        <f>VLOOKUP(130,Lang!$A$6:$K$1006,Lang!$M$1+1,FALSE)</f>
        <v>Metodický list indikátoru</v>
      </c>
    </row>
    <row r="4" spans="1:2" x14ac:dyDescent="0.25">
      <c r="A4" s="6" t="str">
        <f>VLOOKUP(135,Lang!$A$6:$K$1006,Lang!$M$1+1,FALSE)</f>
        <v>Četnost říčních záplav za posledních 5 let</v>
      </c>
      <c r="B4" s="126"/>
    </row>
    <row r="13" spans="1:2" x14ac:dyDescent="0.25">
      <c r="A13" s="18"/>
    </row>
    <row r="14" spans="1:2" x14ac:dyDescent="0.25">
      <c r="A14" s="19"/>
    </row>
    <row r="15" spans="1:2" x14ac:dyDescent="0.25">
      <c r="A15" s="19"/>
    </row>
  </sheetData>
  <sheetProtection sheet="1" objects="1" scenarios="1"/>
  <mergeCells count="1">
    <mergeCell ref="A1:B1"/>
  </mergeCells>
  <dataValidations count="1">
    <dataValidation type="whole" allowBlank="1" showInputMessage="1" showErrorMessage="1" errorTitle="Chybný vstup" error="Přípustnou hodnotou je celé číslo v intervalu 0; 100" sqref="B4">
      <formula1>0</formula1>
      <formula2>100</formula2>
    </dataValidation>
  </dataValidations>
  <hyperlinks>
    <hyperlink ref="A2" r:id="rId1" tooltip="stáhnout metodický list indikátoru" display="Metodický list indikátoru"/>
  </hyperlinks>
  <pageMargins left="0.7" right="0.7" top="0.78740157499999996" bottom="0.78740157499999996"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10"/>
  <sheetViews>
    <sheetView showGridLines="0" workbookViewId="0">
      <selection activeCell="A16" sqref="A16"/>
    </sheetView>
  </sheetViews>
  <sheetFormatPr defaultRowHeight="15" x14ac:dyDescent="0.25"/>
  <cols>
    <col min="1" max="1" width="88.42578125" style="1" bestFit="1" customWidth="1"/>
    <col min="2" max="2" width="18.85546875" customWidth="1"/>
    <col min="3" max="3" width="33.140625" customWidth="1"/>
    <col min="4" max="4" width="13.28515625" customWidth="1"/>
    <col min="5" max="5" width="9.140625" customWidth="1"/>
    <col min="6" max="6" width="18.5703125" hidden="1" customWidth="1"/>
  </cols>
  <sheetData>
    <row r="1" spans="1:3" ht="52.5" customHeight="1" x14ac:dyDescent="0.25">
      <c r="A1" s="122" t="str">
        <f>CONCATENATE("M-EXP7 – ",VLOOKUP(27,Lang!$A$6:$K$1006,Lang!$M$1+1,FALSE))</f>
        <v>M-EXP7 – Podíl záplavového území vymezeného čárou Q₁₀₀ z celkové rozlohy administrativního území města/městské části/obce</v>
      </c>
      <c r="B1" s="122"/>
      <c r="C1" s="122"/>
    </row>
    <row r="2" spans="1:3" ht="28.5" customHeight="1" x14ac:dyDescent="0.25">
      <c r="A2" s="88" t="str">
        <f>VLOOKUP(130,Lang!$A$6:$K$1006,Lang!$M$1+1,FALSE)</f>
        <v>Metodický list indikátoru</v>
      </c>
    </row>
    <row r="4" spans="1:3" ht="18" x14ac:dyDescent="0.35">
      <c r="A4" s="50" t="str">
        <f>VLOOKUP(136,Lang!$A$6:$K$1006,Lang!$M$1+1,FALSE)</f>
        <v>Podíl záplavového území Q₁₀₀</v>
      </c>
      <c r="B4" s="128"/>
    </row>
    <row r="5" spans="1:3" x14ac:dyDescent="0.25">
      <c r="B5" s="136"/>
    </row>
    <row r="6" spans="1:3" x14ac:dyDescent="0.25">
      <c r="A6" s="13" t="str">
        <f>VLOOKUP(400,Lang!$A$6:$K$1006,Lang!$M$1+1,FALSE)</f>
        <v>Pomůcka - pomocný výpočet</v>
      </c>
      <c r="B6" s="136"/>
    </row>
    <row r="7" spans="1:3" s="51" customFormat="1" x14ac:dyDescent="0.25">
      <c r="A7" s="47" t="str">
        <f>VLOOKUP(137,Lang!$A$6:$K$1006,Lang!$M$1+1,FALSE)</f>
        <v>Do žlutého pole zadejte plochu záplavového území Q₁₀₀, podíl v % se dopočte</v>
      </c>
      <c r="B7" s="150"/>
    </row>
    <row r="8" spans="1:3" ht="18" x14ac:dyDescent="0.35">
      <c r="A8" s="1" t="str">
        <f>VLOOKUP(138,Lang!$A$6:$K$1006,Lang!$M$1+1,FALSE)</f>
        <v>Plocha záplavového území Q₁₀₀ (ha)</v>
      </c>
      <c r="B8" s="127"/>
    </row>
    <row r="9" spans="1:3" ht="15.75" thickBot="1" x14ac:dyDescent="0.3">
      <c r="A9" s="95" t="str">
        <f>IF('M-POP2'!B4="",VLOOKUP(91,Lang!$A$6:$K$1006,Lang!$M$1+1,FALSE),VLOOKUP(92,Lang!$A$6:$K$1006,Lang!$M$1+1,FALSE))</f>
        <v>Zadejte nejprve hodnotu M-POP2</v>
      </c>
      <c r="B9" t="str">
        <f>IF('M-POP2'!B4="","N/A",'M-POP2'!B4)</f>
        <v>N/A</v>
      </c>
    </row>
    <row r="10" spans="1:3" ht="15.75" thickBot="1" x14ac:dyDescent="0.3">
      <c r="A10" s="30" t="str">
        <f>IF('M-POP2'!B4="",VLOOKUP(93,Lang!$A$6:$K$1006,Lang!$M$1+1,FALSE),VLOOKUP(94,Lang!$A$6:$K$1006,Lang!$M$1+1,FALSE))</f>
        <v>Výpočet nemůže proběhnout</v>
      </c>
      <c r="B10" s="16" t="str">
        <f>IF('M-POP2'!B4="","N/A",+B8/B9)</f>
        <v>N/A</v>
      </c>
    </row>
  </sheetData>
  <sheetProtection sheet="1" objects="1" scenarios="1"/>
  <mergeCells count="1">
    <mergeCell ref="A1:C1"/>
  </mergeCells>
  <dataValidations count="2">
    <dataValidation type="decimal" allowBlank="1" showInputMessage="1" showErrorMessage="1" errorTitle="Chybná hodnota" error="Povolenou hodnotou jsou % v intervalu 0,00 % - 100 %" sqref="B4">
      <formula1>0</formula1>
      <formula2>1</formula2>
    </dataValidation>
    <dataValidation type="decimal" allowBlank="1" showInputMessage="1" showErrorMessage="1" errorTitle="Chybný vstup" error="Vstupní hodnorta nesmí být větší než celková rozloha města / MČ." sqref="B8">
      <formula1>0</formula1>
      <formula2>B9</formula2>
    </dataValidation>
  </dataValidations>
  <hyperlinks>
    <hyperlink ref="A2" r:id="rId1" tooltip="stáhnout metodický list indikátoru" display="Metodický list indikátoru"/>
    <hyperlink ref="A9" location="'M-POP2'!B4" display="'M-POP2'!B4"/>
  </hyperlinks>
  <pageMargins left="0.7" right="0.7" top="0.78740157499999996" bottom="0.78740157499999996"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5"/>
  <sheetViews>
    <sheetView showGridLines="0" workbookViewId="0">
      <selection activeCell="B4" sqref="B4"/>
    </sheetView>
  </sheetViews>
  <sheetFormatPr defaultRowHeight="15" x14ac:dyDescent="0.25"/>
  <cols>
    <col min="1" max="1" width="89" style="1" customWidth="1"/>
    <col min="2" max="2" width="23.140625" customWidth="1"/>
    <col min="3" max="3" width="17.85546875" customWidth="1"/>
    <col min="4" max="4" width="13.28515625" customWidth="1"/>
    <col min="5" max="5" width="9.140625" customWidth="1"/>
    <col min="6" max="6" width="16.42578125" customWidth="1"/>
  </cols>
  <sheetData>
    <row r="1" spans="1:2" ht="51.75" customHeight="1" x14ac:dyDescent="0.25">
      <c r="A1" s="122" t="str">
        <f>CONCATENATE("M-EXP8 – ",VLOOKUP(28,Lang!$A$6:$K$1006,Lang!$M$1+1,FALSE))</f>
        <v>M-EXP8 – Počet dní s výskytem extrémních meteorologických jevů (silný vítr, krupobití, silné bouřky, ledovka, námraza, přívaly sněhu)</v>
      </c>
      <c r="B1" s="122"/>
    </row>
    <row r="2" spans="1:2" ht="28.5" customHeight="1" x14ac:dyDescent="0.25">
      <c r="A2" s="96" t="str">
        <f>VLOOKUP(130,Lang!$A$6:$K$1006,Lang!$M$1+1,FALSE)</f>
        <v>Metodický list indikátoru</v>
      </c>
    </row>
    <row r="4" spans="1:2" x14ac:dyDescent="0.25">
      <c r="A4" s="6" t="str">
        <f>VLOOKUP(139,Lang!$A$6:$K$1006,Lang!$M$1+1,FALSE)</f>
        <v>Počet dní s extrémními jevy</v>
      </c>
      <c r="B4" s="126"/>
    </row>
    <row r="13" spans="1:2" x14ac:dyDescent="0.25">
      <c r="A13" s="18"/>
    </row>
    <row r="14" spans="1:2" x14ac:dyDescent="0.25">
      <c r="A14" s="19"/>
    </row>
    <row r="15" spans="1:2" x14ac:dyDescent="0.25">
      <c r="A15" s="19"/>
    </row>
  </sheetData>
  <sheetProtection sheet="1" objects="1" scenarios="1"/>
  <mergeCells count="1">
    <mergeCell ref="A1:B1"/>
  </mergeCells>
  <dataValidations count="1">
    <dataValidation type="whole" allowBlank="1" showInputMessage="1" showErrorMessage="1" errorTitle="Chybný vstup" error="Přípustnou hodnotou je celé číslo v intervalu 0; 366" sqref="B4">
      <formula1>0</formula1>
      <formula2>100</formula2>
    </dataValidation>
  </dataValidations>
  <pageMargins left="0.7" right="0.7" top="0.78740157499999996" bottom="0.78740157499999996"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5"/>
  <sheetViews>
    <sheetView showGridLines="0" workbookViewId="0">
      <selection activeCell="B4" sqref="B4"/>
    </sheetView>
  </sheetViews>
  <sheetFormatPr defaultRowHeight="15" x14ac:dyDescent="0.25"/>
  <cols>
    <col min="1" max="1" width="89.5703125" style="1" customWidth="1"/>
    <col min="2" max="2" width="23.140625" customWidth="1"/>
    <col min="3" max="3" width="17.85546875" customWidth="1"/>
    <col min="4" max="4" width="13.28515625" customWidth="1"/>
    <col min="5" max="5" width="9.140625" customWidth="1"/>
    <col min="6" max="6" width="16.42578125" customWidth="1"/>
  </cols>
  <sheetData>
    <row r="1" spans="1:2" ht="65.099999999999994" customHeight="1" x14ac:dyDescent="0.25">
      <c r="A1" s="122" t="str">
        <f>CONCATENATE("M-EXP9 – ",VLOOKUP(29,Lang!$A$6:$K$1006,Lang!$M$1+1,FALSE))</f>
        <v>M-EXP9 – Počet dní s výskytem hydrologického sucha za posledních 5 let</v>
      </c>
      <c r="B1" s="122"/>
    </row>
    <row r="2" spans="1:2" ht="28.5" customHeight="1" x14ac:dyDescent="0.25">
      <c r="A2" s="97" t="str">
        <f>VLOOKUP(130,Lang!$A$6:$K$1006,Lang!$M$1+1,FALSE)</f>
        <v>Metodický list indikátoru</v>
      </c>
    </row>
    <row r="4" spans="1:2" x14ac:dyDescent="0.25">
      <c r="A4" s="6" t="str">
        <f>VLOOKUP(29,Lang!$A$6:$K$1006,Lang!$M$1+1,FALSE)</f>
        <v>Počet dní s výskytem hydrologického sucha za posledních 5 let</v>
      </c>
      <c r="B4" s="126"/>
    </row>
    <row r="13" spans="1:2" x14ac:dyDescent="0.25">
      <c r="A13" s="18"/>
    </row>
    <row r="14" spans="1:2" x14ac:dyDescent="0.25">
      <c r="A14" s="19"/>
    </row>
    <row r="15" spans="1:2" x14ac:dyDescent="0.25">
      <c r="A15" s="19"/>
    </row>
  </sheetData>
  <sheetProtection sheet="1" objects="1" scenarios="1"/>
  <mergeCells count="1">
    <mergeCell ref="A1:B1"/>
  </mergeCells>
  <dataValidations count="1">
    <dataValidation type="whole" allowBlank="1" showInputMessage="1" showErrorMessage="1" errorTitle="Chybný vstup" error="Přípustnou hodnotou je celé číslo v intervalu 0; 1826" sqref="B4">
      <formula1>0</formula1>
      <formula2>1826</formula2>
    </dataValidation>
  </dataValidations>
  <pageMargins left="0.7" right="0.7" top="0.78740157499999996" bottom="0.78740157499999996"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6"/>
  <sheetViews>
    <sheetView showGridLines="0" workbookViewId="0">
      <selection activeCell="C23" sqref="C23"/>
    </sheetView>
  </sheetViews>
  <sheetFormatPr defaultRowHeight="15" x14ac:dyDescent="0.25"/>
  <cols>
    <col min="1" max="1" width="74" style="1" bestFit="1" customWidth="1"/>
    <col min="2" max="2" width="23.140625" customWidth="1"/>
    <col min="3" max="3" width="17.85546875" customWidth="1"/>
    <col min="4" max="4" width="13.28515625" customWidth="1"/>
    <col min="5" max="6" width="9.140625" customWidth="1"/>
    <col min="7" max="7" width="16.42578125" customWidth="1"/>
  </cols>
  <sheetData>
    <row r="1" spans="1:2" ht="57" customHeight="1" x14ac:dyDescent="0.25">
      <c r="A1" s="122" t="str">
        <f>CONCATENATE("M-EXP10 – ",VLOOKUP(30,Lang!$A$6:$K$1006,Lang!$M$1+1,FALSE))</f>
        <v>M-EXP10 – Klimatické sucho vyjádřené pomocí Standardizovaného srážkového evapotranspiračního indexu (SPEI)</v>
      </c>
      <c r="B1" s="122"/>
    </row>
    <row r="2" spans="1:2" ht="28.5" customHeight="1" x14ac:dyDescent="0.25">
      <c r="A2" s="88" t="str">
        <f>VLOOKUP(130,Lang!$A$6:$K$1006,Lang!$M$1+1,FALSE)</f>
        <v>Metodický list indikátoru</v>
      </c>
    </row>
    <row r="4" spans="1:2" x14ac:dyDescent="0.25">
      <c r="A4" s="6" t="str">
        <f>VLOOKUP(140,Lang!$A$6:$K$1006,Lang!$M$1+1,FALSE)</f>
        <v>Index SPEI</v>
      </c>
      <c r="B4" s="149"/>
    </row>
    <row r="11" spans="1:2" x14ac:dyDescent="0.25">
      <c r="A11" s="18"/>
    </row>
    <row r="12" spans="1:2" x14ac:dyDescent="0.25">
      <c r="A12" s="18"/>
    </row>
    <row r="13" spans="1:2" x14ac:dyDescent="0.25">
      <c r="A13" s="18"/>
    </row>
    <row r="14" spans="1:2" x14ac:dyDescent="0.25">
      <c r="A14" s="18"/>
    </row>
    <row r="15" spans="1:2" x14ac:dyDescent="0.25">
      <c r="A15" s="18"/>
    </row>
    <row r="16" spans="1:2" x14ac:dyDescent="0.25">
      <c r="A16" s="18"/>
    </row>
  </sheetData>
  <sheetProtection sheet="1" objects="1" scenarios="1"/>
  <mergeCells count="1">
    <mergeCell ref="A1:B1"/>
  </mergeCells>
  <dataValidations count="1">
    <dataValidation type="decimal" allowBlank="1" showInputMessage="1" showErrorMessage="1" errorTitle="Chybný vstup" error="Interval: -50,00 – +50,00" sqref="B4">
      <formula1>-50</formula1>
      <formula2>50</formula2>
    </dataValidation>
  </dataValidations>
  <pageMargins left="0.7" right="0.7" top="0.78740157499999996" bottom="0.78740157499999996"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0"/>
  <sheetViews>
    <sheetView showGridLines="0" workbookViewId="0">
      <selection activeCell="B4" sqref="B4:B8"/>
    </sheetView>
  </sheetViews>
  <sheetFormatPr defaultRowHeight="15" x14ac:dyDescent="0.25"/>
  <cols>
    <col min="1" max="1" width="102.28515625" style="1" customWidth="1"/>
    <col min="2" max="2" width="18.85546875" customWidth="1"/>
    <col min="3" max="3" width="17.85546875" customWidth="1"/>
    <col min="4" max="4" width="13.28515625" customWidth="1"/>
    <col min="5" max="6" width="9.140625" customWidth="1"/>
    <col min="7" max="7" width="18.5703125" hidden="1" customWidth="1"/>
  </cols>
  <sheetData>
    <row r="1" spans="1:2" s="49" customFormat="1" ht="45" customHeight="1" x14ac:dyDescent="0.25">
      <c r="A1" s="122" t="str">
        <f>CONCATENATE("M-AD1 – ",VLOOKUP(31,Lang!$A$6:$K$1006,Lang!$M$1+1,FALSE))</f>
        <v>M-AD1 – Plochy zelené infrastruktury ve městě</v>
      </c>
      <c r="B1" s="122"/>
    </row>
    <row r="2" spans="1:2" ht="28.5" customHeight="1" x14ac:dyDescent="0.25">
      <c r="A2" s="88" t="str">
        <f>VLOOKUP(130,Lang!$A$6:$K$1006,Lang!$M$1+1,FALSE)</f>
        <v>Metodický list indikátoru</v>
      </c>
    </row>
    <row r="4" spans="1:2" x14ac:dyDescent="0.25">
      <c r="A4" s="6" t="str">
        <f>VLOOKUP(227,Lang!$A$6:$K$1006,Lang!$M$1+1,FALSE)</f>
        <v>Podíl ploch zelené infrastruktury</v>
      </c>
      <c r="B4" s="128"/>
    </row>
    <row r="5" spans="1:2" x14ac:dyDescent="0.25">
      <c r="B5" s="136"/>
    </row>
    <row r="6" spans="1:2" x14ac:dyDescent="0.25">
      <c r="A6" s="13" t="str">
        <f>VLOOKUP(400,Lang!$A$6:$K$1006,Lang!$M$1+1,FALSE)</f>
        <v>Pomůcka - pomocný výpočet</v>
      </c>
      <c r="B6" s="136"/>
    </row>
    <row r="7" spans="1:2" x14ac:dyDescent="0.25">
      <c r="A7" s="46" t="str">
        <f>VLOOKUP(228,Lang!$A$6:$K$1006,Lang!$M$1+1,FALSE)</f>
        <v>Do žlutého pole zadejte plochu zelené infrastruktury, podíl v % se dopočte</v>
      </c>
      <c r="B7" s="136"/>
    </row>
    <row r="8" spans="1:2" x14ac:dyDescent="0.25">
      <c r="A8" s="1" t="str">
        <f>VLOOKUP(228,Lang!$A$6:$K$1006,Lang!$M$1+1,FALSE)</f>
        <v>Do žlutého pole zadejte plochu zelené infrastruktury, podíl v % se dopočte</v>
      </c>
      <c r="B8" s="127"/>
    </row>
    <row r="9" spans="1:2" ht="15.75" thickBot="1" x14ac:dyDescent="0.3">
      <c r="A9" s="94" t="str">
        <f>IF('M-POP2'!B4="",VLOOKUP(230,Lang!$A$6:$K$1006,Lang!$M$1+1,FALSE),VLOOKUP(231,Lang!$A$6:$K$1006,Lang!$M$1+1,FALSE))</f>
        <v>Zadejte nejprve hodnotu POP2</v>
      </c>
      <c r="B9" t="str">
        <f>IF('M-POP2'!B4="","N/A",'M-POP2'!B4)</f>
        <v>N/A</v>
      </c>
    </row>
    <row r="10" spans="1:2" ht="15.75" thickBot="1" x14ac:dyDescent="0.3">
      <c r="A10" s="30" t="str">
        <f>IF('M-POP2'!B4="",VLOOKUP(93,Lang!$A$6:$K$1006,Lang!$M$1+1,FALSE),VLOOKUP(94,Lang!$A$6:$K$1006,Lang!$M$1+1,FALSE))</f>
        <v>Výpočet nemůže proběhnout</v>
      </c>
      <c r="B10" s="16" t="str">
        <f>IF('M-POP2'!B4="","N/A",+B8/B9)</f>
        <v>N/A</v>
      </c>
    </row>
  </sheetData>
  <sheetProtection sheet="1" objects="1" scenarios="1"/>
  <mergeCells count="1">
    <mergeCell ref="A1:B1"/>
  </mergeCells>
  <dataValidations count="2">
    <dataValidation type="decimal" allowBlank="1" showInputMessage="1" showErrorMessage="1" errorTitle="Chybná hodnota" error="Povolenou hodnotou jsou % v intervalu 0,00 % - 100 %" sqref="B4">
      <formula1>0</formula1>
      <formula2>1</formula2>
    </dataValidation>
    <dataValidation type="decimal" allowBlank="1" showInputMessage="1" showErrorMessage="1" errorTitle="Chybný vstup" error="Vstupní hodnorta nesmí být větší než celková rozloha města / MČ." sqref="B8">
      <formula1>0</formula1>
      <formula2>B9</formula2>
    </dataValidation>
  </dataValidations>
  <hyperlinks>
    <hyperlink ref="A9" location="'M-POP2'!B4" display="'M-POP2'!B4"/>
  </hyperlinks>
  <pageMargins left="0.7" right="0.7" top="0.78740157499999996" bottom="0.78740157499999996"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showGridLines="0" workbookViewId="0">
      <selection activeCell="B4" sqref="B4:B8"/>
    </sheetView>
  </sheetViews>
  <sheetFormatPr defaultRowHeight="15" x14ac:dyDescent="0.25"/>
  <cols>
    <col min="1" max="1" width="109.42578125" style="1" customWidth="1"/>
    <col min="2" max="2" width="18.85546875" customWidth="1"/>
    <col min="3" max="3" width="17.85546875" customWidth="1"/>
    <col min="4" max="4" width="13.28515625" customWidth="1"/>
    <col min="5" max="6" width="9.140625" customWidth="1"/>
    <col min="7" max="7" width="18.5703125" hidden="1" customWidth="1"/>
  </cols>
  <sheetData>
    <row r="1" spans="1:2" s="49" customFormat="1" ht="65.099999999999994" customHeight="1" x14ac:dyDescent="0.25">
      <c r="A1" s="122" t="str">
        <f>CONCATENATE("M-AD2 – ",VLOOKUP(32,Lang!$A$6:$K$1006,Lang!$M$1+1,FALSE))</f>
        <v>M-AD2 – Dostupnost ploch veřejné zeleně odpovídající kvality</v>
      </c>
      <c r="B1" s="122"/>
    </row>
    <row r="2" spans="1:2" ht="28.5" customHeight="1" x14ac:dyDescent="0.25">
      <c r="A2" s="88" t="str">
        <f>VLOOKUP(130,Lang!$A$6:$K$1006,Lang!$M$1+1,FALSE)</f>
        <v>Metodický list indikátoru</v>
      </c>
    </row>
    <row r="4" spans="1:2" x14ac:dyDescent="0.25">
      <c r="A4" s="6" t="str">
        <f>VLOOKUP(232,Lang!$A$6:$K$1006,Lang!$M$1+1,FALSE)</f>
        <v>Podíl obyvatel v okruhu 300 m od zelených ploch</v>
      </c>
      <c r="B4" s="128"/>
    </row>
    <row r="5" spans="1:2" x14ac:dyDescent="0.25">
      <c r="B5" s="136"/>
    </row>
    <row r="6" spans="1:2" x14ac:dyDescent="0.25">
      <c r="A6" s="13" t="str">
        <f>VLOOKUP(400,Lang!$A$6:$K$1006,Lang!$M$1+1,FALSE)</f>
        <v>Pomůcka - pomocný výpočet</v>
      </c>
      <c r="B6" s="136"/>
    </row>
    <row r="7" spans="1:2" s="49" customFormat="1" x14ac:dyDescent="0.25">
      <c r="A7" s="47" t="str">
        <f>VLOOKUP(236,Lang!$A$6:$K$1006,Lang!$M$1+1,FALSE)</f>
        <v>Do žlutého pole zadejte počet obyvatel dle indikátoru, podíl v % se dopočte</v>
      </c>
      <c r="B7" s="138"/>
    </row>
    <row r="8" spans="1:2" x14ac:dyDescent="0.25">
      <c r="A8" s="1" t="str">
        <f>VLOOKUP(237,Lang!$A$6:$K$1006,Lang!$M$1+1,FALSE)</f>
        <v>Počet obyvatel v okruhu 300 m od zelených ploch</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30" t="str">
        <f>IF('M-POP1'!B4="",VLOOKUP(93,Lang!$A$6:$K$1006,Lang!$M$1+1,FALSE),VLOOKUP(94,Lang!$A$6:$K$1006,Lang!$M$1+1,FALSE))</f>
        <v>Výpočet nemůže proběhnout</v>
      </c>
      <c r="B10" s="16" t="str">
        <f>IF('M-POP1'!B4="","N/A",+B8/B9)</f>
        <v>N/A</v>
      </c>
    </row>
    <row r="12" spans="1:2" x14ac:dyDescent="0.25">
      <c r="A12" s="12"/>
    </row>
    <row r="13" spans="1:2" x14ac:dyDescent="0.25">
      <c r="A13" s="12"/>
    </row>
    <row r="14" spans="1:2" x14ac:dyDescent="0.25">
      <c r="A14" s="12"/>
    </row>
    <row r="15" spans="1:2" x14ac:dyDescent="0.25">
      <c r="A15" s="12"/>
    </row>
    <row r="16" spans="1:2"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sheetData>
  <sheetProtection sheet="1" objects="1" scenarios="1"/>
  <mergeCells count="1">
    <mergeCell ref="A1:B1"/>
  </mergeCells>
  <dataValidations count="2">
    <dataValidation type="decimal" allowBlank="1" showInputMessage="1" showErrorMessage="1" errorTitle="Chybný vstup" error="Interval: min 0; max B9_x000a_"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9" location="'M-POP1'!B4" display="'M-POP1'!B4"/>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4"/>
  <sheetViews>
    <sheetView showGridLines="0" workbookViewId="0">
      <selection activeCell="B4" sqref="B4"/>
    </sheetView>
  </sheetViews>
  <sheetFormatPr defaultRowHeight="15" x14ac:dyDescent="0.25"/>
  <cols>
    <col min="1" max="1" width="93.5703125" style="1" bestFit="1" customWidth="1"/>
    <col min="2" max="2" width="58.42578125" customWidth="1"/>
    <col min="3" max="3" width="6.42578125" customWidth="1"/>
    <col min="4" max="4" width="13.28515625" customWidth="1"/>
    <col min="5" max="5" width="18.5703125" hidden="1" customWidth="1"/>
  </cols>
  <sheetData>
    <row r="1" spans="1:2" ht="21" x14ac:dyDescent="0.25">
      <c r="A1" s="42" t="str">
        <f>VLOOKUP(3,Lang!$A$6:$K$1006,Lang!$M$1+1,FALSE)</f>
        <v>Identifikace města/MČ</v>
      </c>
    </row>
    <row r="4" spans="1:2" x14ac:dyDescent="0.25">
      <c r="A4" s="6" t="str">
        <f>VLOOKUP(77,Lang!$A$6:$K$1006,Lang!$M$1+1,FALSE)</f>
        <v>Název</v>
      </c>
      <c r="B4" s="125"/>
    </row>
  </sheetData>
  <sheetProtection sheet="1" objects="1" scenarios="1"/>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0"/>
  <sheetViews>
    <sheetView showGridLines="0" workbookViewId="0">
      <selection activeCell="B20" sqref="B20"/>
    </sheetView>
  </sheetViews>
  <sheetFormatPr defaultRowHeight="15" x14ac:dyDescent="0.25"/>
  <cols>
    <col min="1" max="1" width="108" style="1" customWidth="1"/>
    <col min="2" max="2" width="18.85546875" customWidth="1"/>
    <col min="3" max="3" width="17.85546875" customWidth="1"/>
    <col min="4" max="4" width="13.28515625" customWidth="1"/>
    <col min="5" max="6" width="9.140625" customWidth="1"/>
    <col min="7" max="7" width="18.5703125" hidden="1" customWidth="1"/>
  </cols>
  <sheetData>
    <row r="1" spans="1:2" s="49" customFormat="1" ht="65.099999999999994" customHeight="1" x14ac:dyDescent="0.25">
      <c r="A1" s="122" t="str">
        <f>CONCATENATE("M-AD3 – ",VLOOKUP(33,Lang!$A$6:$K$1006,Lang!$M$1+1,FALSE))</f>
        <v>M-AD3 – Zastavěné, zpevněné a nepropustné plochy</v>
      </c>
      <c r="B1" s="122"/>
    </row>
    <row r="2" spans="1:2" ht="28.5" customHeight="1" x14ac:dyDescent="0.25">
      <c r="A2" s="88" t="str">
        <f>VLOOKUP(130,Lang!$A$6:$K$1006,Lang!$M$1+1,FALSE)</f>
        <v>Metodický list indikátoru</v>
      </c>
    </row>
    <row r="4" spans="1:2" x14ac:dyDescent="0.25">
      <c r="A4" s="6" t="str">
        <f>VLOOKUP(233,Lang!$A$6:$K$1006,Lang!$M$1+1,FALSE)</f>
        <v>Podíl zastavěných, zpevněných a nepropustných ploch</v>
      </c>
      <c r="B4" s="128"/>
    </row>
    <row r="5" spans="1:2" x14ac:dyDescent="0.25">
      <c r="B5" s="136"/>
    </row>
    <row r="6" spans="1:2" x14ac:dyDescent="0.25">
      <c r="A6" s="13" t="str">
        <f>VLOOKUP(400,Lang!$A$6:$K$1006,Lang!$M$1+1,FALSE)</f>
        <v>Pomůcka - pomocný výpočet</v>
      </c>
      <c r="B6" s="136"/>
    </row>
    <row r="7" spans="1:2" s="49" customFormat="1" x14ac:dyDescent="0.25">
      <c r="A7" s="47" t="str">
        <f>VLOOKUP(238,Lang!$A$6:$K$1006,Lang!$M$1+1,FALSE)</f>
        <v>Do žlutého pole zadejte výměr nepropustných ploch, podíl v % se dopočte</v>
      </c>
      <c r="B7" s="138"/>
    </row>
    <row r="8" spans="1:2" x14ac:dyDescent="0.25">
      <c r="A8" s="1" t="str">
        <f>VLOOKUP(239,Lang!$A$6:$K$1006,Lang!$M$1+1,FALSE)</f>
        <v>Plocha zelené nepropustných ploch v ha</v>
      </c>
      <c r="B8" s="127"/>
    </row>
    <row r="9" spans="1:2" ht="15.75" thickBot="1" x14ac:dyDescent="0.3">
      <c r="A9" s="94" t="str">
        <f>IF('M-POP2'!B4="",VLOOKUP(230,Lang!$A$6:$K$1006,Lang!$M$1+1,FALSE),VLOOKUP(231,Lang!$A$6:$K$1006,Lang!$M$1+1,FALSE))</f>
        <v>Zadejte nejprve hodnotu POP2</v>
      </c>
      <c r="B9" t="str">
        <f>IF('M-POP2'!B4="","N/A",'M-POP2'!B4)</f>
        <v>N/A</v>
      </c>
    </row>
    <row r="10" spans="1:2" ht="15.75" thickBot="1" x14ac:dyDescent="0.3">
      <c r="A10" s="30" t="str">
        <f>IF('M-POP2'!B4="",VLOOKUP(93,Lang!$A$6:$K$1006,Lang!$M$1+1,FALSE),VLOOKUP(94,Lang!$A$6:$K$1006,Lang!$M$1+1,FALSE))</f>
        <v>Výpočet nemůže proběhnout</v>
      </c>
      <c r="B10" s="16" t="str">
        <f>IF('M-POP2'!B4="","N/A",+B8/B9)</f>
        <v>N/A</v>
      </c>
    </row>
  </sheetData>
  <sheetProtection sheet="1" objects="1" scenarios="1"/>
  <mergeCells count="1">
    <mergeCell ref="A1:B1"/>
  </mergeCells>
  <dataValidations count="2">
    <dataValidation type="decimal" allowBlank="1" showInputMessage="1" showErrorMessage="1" errorTitle="Chybný vstup" error="Interval: min: 0; max: B9_x000a_"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9" location="'M-POP2'!B4" display="'M-POP2'!B4"/>
  </hyperlinks>
  <pageMargins left="0.7" right="0.7" top="0.78740157499999996" bottom="0.78740157499999996"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5"/>
  <sheetViews>
    <sheetView showGridLines="0" workbookViewId="0">
      <selection activeCell="C20" sqref="C20"/>
    </sheetView>
  </sheetViews>
  <sheetFormatPr defaultRowHeight="15" x14ac:dyDescent="0.25"/>
  <cols>
    <col min="1" max="1" width="91.85546875" style="1" customWidth="1"/>
    <col min="2" max="2" width="18.85546875" customWidth="1"/>
    <col min="3" max="3" width="17.85546875" customWidth="1"/>
    <col min="4" max="4" width="13.28515625" customWidth="1"/>
    <col min="5" max="6" width="9.140625" customWidth="1"/>
    <col min="7" max="7" width="18.5703125" hidden="1" customWidth="1"/>
  </cols>
  <sheetData>
    <row r="1" spans="1:2" s="49" customFormat="1" ht="65.099999999999994" customHeight="1" x14ac:dyDescent="0.25">
      <c r="A1" s="122" t="str">
        <f>CONCATENATE("M-AD4 – ",VLOOKUP(34,Lang!$A$6:$K$1006,Lang!$M$1+1,FALSE))</f>
        <v>M-AD4 – Populace nejvíce zranitelná vlnám veder</v>
      </c>
      <c r="B1" s="122"/>
    </row>
    <row r="2" spans="1:2" ht="28.5" customHeight="1" x14ac:dyDescent="0.25">
      <c r="A2" s="88" t="str">
        <f>VLOOKUP(130,Lang!$A$6:$K$1006,Lang!$M$1+1,FALSE)</f>
        <v>Metodický list indikátoru</v>
      </c>
    </row>
    <row r="4" spans="1:2" x14ac:dyDescent="0.25">
      <c r="A4" s="6" t="str">
        <f>VLOOKUP(234,Lang!$A$6:$K$1006,Lang!$M$1+1,FALSE)</f>
        <v>Podíl zranitelných osob</v>
      </c>
      <c r="B4" s="128"/>
    </row>
    <row r="5" spans="1:2" x14ac:dyDescent="0.25">
      <c r="B5" s="136"/>
    </row>
    <row r="6" spans="1:2" x14ac:dyDescent="0.25">
      <c r="A6" s="13" t="str">
        <f>VLOOKUP(400,Lang!$A$6:$K$1006,Lang!$M$1+1,FALSE)</f>
        <v>Pomůcka - pomocný výpočet</v>
      </c>
      <c r="B6" s="136"/>
    </row>
    <row r="7" spans="1:2" s="49" customFormat="1" x14ac:dyDescent="0.25">
      <c r="A7" s="47" t="str">
        <f>VLOOKUP(240,Lang!$A$6:$K$1006,Lang!$M$1+1,FALSE)</f>
        <v>Do žlutého pole zadejte počet zranitelných obyvatel, podíl v % se dopočte</v>
      </c>
      <c r="B7" s="138"/>
    </row>
    <row r="8" spans="1:2" x14ac:dyDescent="0.25">
      <c r="A8" s="1" t="str">
        <f>VLOOKUP(241,Lang!$A$6:$K$1006,Lang!$M$1+1,FALSE)</f>
        <v>Počet zranitelných obyvatel</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30" t="str">
        <f>IF('M-POP1'!B4="",VLOOKUP(93,Lang!$A$6:$K$1006,Lang!$M$1+1,FALSE),VLOOKUP(94,Lang!$A$6:$K$1006,Lang!$M$1+1,FALSE))</f>
        <v>Výpočet nemůže proběhnout</v>
      </c>
      <c r="B10" s="16" t="str">
        <f>IF('M-POP1'!B4="","N/A",+B8/B9)</f>
        <v>N/A</v>
      </c>
    </row>
    <row r="13" spans="1:2" x14ac:dyDescent="0.25">
      <c r="A13" s="18"/>
    </row>
    <row r="14" spans="1:2" x14ac:dyDescent="0.25">
      <c r="A14" s="18"/>
    </row>
    <row r="15" spans="1:2" x14ac:dyDescent="0.25">
      <c r="A15" s="18"/>
    </row>
  </sheetData>
  <sheetProtection sheet="1" objects="1" scenarios="1"/>
  <mergeCells count="1">
    <mergeCell ref="A1:B1"/>
  </mergeCells>
  <conditionalFormatting sqref="D11">
    <cfRule type="expression" dxfId="62" priority="1">
      <formula>$D$7="OK"</formula>
    </cfRule>
  </conditionalFormatting>
  <dataValidations count="2">
    <dataValidation type="decimal" allowBlank="1" showInputMessage="1" showErrorMessage="1" errorTitle="Chybná hodnota" error="Povolenou hodnotou jsou % v intervalu 0,00 % - 100 %" sqref="B4">
      <formula1>0</formula1>
      <formula2>1</formula2>
    </dataValidation>
    <dataValidation type="whole" allowBlank="1" showInputMessage="1" showErrorMessage="1" errorTitle="Chybný vstup" error="Interval: min: 0; max: B9_x000a_" sqref="B8">
      <formula1>0</formula1>
      <formula2>B9</formula2>
    </dataValidation>
  </dataValidations>
  <hyperlinks>
    <hyperlink ref="A9" location="'M-POP1'!B4" display="'M-POP1'!B4"/>
  </hyperlinks>
  <pageMargins left="0.7" right="0.7" top="0.78740157499999996" bottom="0.78740157499999996"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0"/>
  <sheetViews>
    <sheetView showGridLines="0" workbookViewId="0">
      <selection activeCell="B31" sqref="B31"/>
    </sheetView>
  </sheetViews>
  <sheetFormatPr defaultRowHeight="15" x14ac:dyDescent="0.25"/>
  <cols>
    <col min="1" max="1" width="131.28515625" style="1" customWidth="1"/>
    <col min="2" max="2" width="18.85546875" customWidth="1"/>
    <col min="3" max="3" width="17.85546875" customWidth="1"/>
    <col min="4" max="4" width="13.28515625" customWidth="1"/>
    <col min="5" max="6" width="9.140625" customWidth="1"/>
    <col min="7" max="7" width="18.5703125" hidden="1" customWidth="1"/>
  </cols>
  <sheetData>
    <row r="1" spans="1:2" ht="65.099999999999994" customHeight="1" x14ac:dyDescent="0.25">
      <c r="A1" s="122" t="str">
        <f>CONCATENATE("M-AD5 – ",VLOOKUP(35,Lang!$A$6:$K$1006,Lang!$M$1+1,FALSE))</f>
        <v>M-AD5 – Podíl území ve městě s rizikem půdních sesuvů z celkové rozlohy administrativního území</v>
      </c>
      <c r="B1" s="122"/>
    </row>
    <row r="2" spans="1:2" ht="28.5" customHeight="1" x14ac:dyDescent="0.25">
      <c r="A2" s="88" t="str">
        <f>VLOOKUP(130,Lang!$A$6:$K$1006,Lang!$M$1+1,FALSE)</f>
        <v>Metodický list indikátoru</v>
      </c>
    </row>
    <row r="4" spans="1:2" x14ac:dyDescent="0.25">
      <c r="A4" s="6" t="str">
        <f>VLOOKUP(235,Lang!$A$6:$K$1006,Lang!$M$1+1,FALSE)</f>
        <v>Podíl zastavěných, zpevněných a nepropustných ploch</v>
      </c>
      <c r="B4" s="128"/>
    </row>
    <row r="5" spans="1:2" x14ac:dyDescent="0.25">
      <c r="B5" s="136"/>
    </row>
    <row r="6" spans="1:2" x14ac:dyDescent="0.25">
      <c r="A6" s="13" t="str">
        <f>VLOOKUP(400,Lang!$A$6:$K$1006,Lang!$M$1+1,FALSE)</f>
        <v>Pomůcka - pomocný výpočet</v>
      </c>
      <c r="B6" s="136"/>
    </row>
    <row r="7" spans="1:2" s="49" customFormat="1" x14ac:dyDescent="0.25">
      <c r="A7" s="47" t="str">
        <f>VLOOKUP(242,Lang!$A$6:$K$1006,Lang!$M$1+1,FALSE)</f>
        <v>Do žlutého pole zadejte plochu území s rizikem sesuvů, podíl v % se dopočte</v>
      </c>
      <c r="B7" s="138"/>
    </row>
    <row r="8" spans="1:2" x14ac:dyDescent="0.25">
      <c r="A8" s="1" t="str">
        <f>VLOOKUP(243,Lang!$A$6:$K$1006,Lang!$M$1+1,FALSE)</f>
        <v>Plocha území s rizikem sesuvů v ha</v>
      </c>
      <c r="B8" s="127"/>
    </row>
    <row r="9" spans="1:2" ht="15.75" thickBot="1" x14ac:dyDescent="0.3">
      <c r="A9" s="94" t="str">
        <f>IF('M-POP2'!B4="",VLOOKUP(230,Lang!$A$6:$K$1006,Lang!$M$1+1,FALSE),VLOOKUP(231,Lang!$A$6:$K$1006,Lang!$M$1+1,FALSE))</f>
        <v>Zadejte nejprve hodnotu POP2</v>
      </c>
      <c r="B9" t="str">
        <f>IF('M-POP2'!B4="","N/A",'M-POP2'!B4)</f>
        <v>N/A</v>
      </c>
    </row>
    <row r="10" spans="1:2" ht="15.75" thickBot="1" x14ac:dyDescent="0.3">
      <c r="A10" s="30" t="str">
        <f>IF('M-POP2'!B4="",VLOOKUP(93,Lang!$A$6:$K$1006,Lang!$M$1+1,FALSE),VLOOKUP(94,Lang!$A$6:$K$1006,Lang!$M$1+1,FALSE))</f>
        <v>Výpočet nemůže proběhnout</v>
      </c>
      <c r="B10" s="16" t="str">
        <f>IF('M-POP2'!B4="","N/A",+B8/B9)</f>
        <v>N/A</v>
      </c>
    </row>
  </sheetData>
  <sheetProtection sheet="1" objects="1" scenarios="1"/>
  <mergeCells count="1">
    <mergeCell ref="A1:B1"/>
  </mergeCells>
  <dataValidations count="2">
    <dataValidation type="decimal" allowBlank="1" showInputMessage="1" showErrorMessage="1" errorTitle="Chybná hodnota" error="Povolenou hodnotou jsou % v intervalu 0,00 % - 100 %" sqref="B4">
      <formula1>0</formula1>
      <formula2>1</formula2>
    </dataValidation>
    <dataValidation type="decimal" allowBlank="1" showInputMessage="1" showErrorMessage="1" errorTitle="Chybný vstup" error="Interval: min: 0; max.: B9" sqref="B8">
      <formula1>0</formula1>
      <formula2>B9</formula2>
    </dataValidation>
  </dataValidations>
  <hyperlinks>
    <hyperlink ref="A9" location="'M-POP2'!B4" display="'M-POP2'!B4"/>
  </hyperlinks>
  <pageMargins left="0.7" right="0.7" top="0.78740157499999996" bottom="0.78740157499999996"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
  <sheetViews>
    <sheetView showGridLines="0" workbookViewId="0">
      <selection activeCell="E28" sqref="E28"/>
    </sheetView>
  </sheetViews>
  <sheetFormatPr defaultRowHeight="15" x14ac:dyDescent="0.25"/>
  <cols>
    <col min="1" max="1" width="84.85546875" style="1" customWidth="1"/>
    <col min="2" max="2" width="18.85546875" customWidth="1"/>
    <col min="3" max="3" width="17.85546875" customWidth="1"/>
    <col min="4" max="4" width="13.28515625" customWidth="1"/>
    <col min="5" max="6" width="9.140625" customWidth="1"/>
    <col min="7" max="7" width="18.5703125" hidden="1" customWidth="1"/>
  </cols>
  <sheetData>
    <row r="1" spans="1:2" ht="54.75" customHeight="1" x14ac:dyDescent="0.25">
      <c r="A1" s="122" t="str">
        <f>CONCATENATE("M-AD6 – ",VLOOKUP(36,Lang!$A$6:$K$1006,Lang!$M$1+1,FALSE))</f>
        <v>M-AD6 – Podíl počtu kritických objektů v rizikovém území ohrožených přívalovými srážkami z celkového počtu kritických objektů</v>
      </c>
      <c r="B1" s="122"/>
    </row>
    <row r="2" spans="1:2" ht="28.5" customHeight="1" x14ac:dyDescent="0.25">
      <c r="A2" s="88" t="str">
        <f>VLOOKUP(130,Lang!$A$6:$K$1006,Lang!$M$1+1,FALSE)</f>
        <v>Metodický list indikátoru</v>
      </c>
    </row>
    <row r="4" spans="1:2" s="49" customFormat="1" x14ac:dyDescent="0.25">
      <c r="A4" s="5" t="str">
        <f>VLOOKUP(223,Lang!$A$6:$K$1006,Lang!$M$1+1,FALSE)</f>
        <v>Podíl kritických obj. ohrožených přívalovými srážkami (%)</v>
      </c>
      <c r="B4" s="143"/>
    </row>
  </sheetData>
  <sheetProtection sheet="1" objects="1" scenarios="1"/>
  <mergeCells count="1">
    <mergeCell ref="A1:B1"/>
  </mergeCells>
  <dataValidations count="1">
    <dataValidation type="decimal" allowBlank="1" showInputMessage="1" showErrorMessage="1" errorTitle="Chybná hodnota" error="Povolenou hodnotou jsou % v intervalu 0,00 % - 100 %" sqref="B4">
      <formula1>0</formula1>
      <formula2>1</formula2>
    </dataValidation>
  </dataValidations>
  <pageMargins left="0.7" right="0.7" top="0.78740157499999996" bottom="0.78740157499999996"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5"/>
  <sheetViews>
    <sheetView showGridLines="0" workbookViewId="0">
      <selection activeCell="B27" sqref="B27"/>
    </sheetView>
  </sheetViews>
  <sheetFormatPr defaultRowHeight="15" x14ac:dyDescent="0.25"/>
  <cols>
    <col min="1" max="1" width="136.7109375" style="1" customWidth="1"/>
    <col min="2" max="2" width="18.85546875" customWidth="1"/>
    <col min="3" max="3" width="17.85546875" customWidth="1"/>
    <col min="4" max="4" width="13.28515625" customWidth="1"/>
    <col min="5" max="6" width="9.140625" customWidth="1"/>
    <col min="7" max="7" width="18.5703125" hidden="1" customWidth="1"/>
  </cols>
  <sheetData>
    <row r="1" spans="1:2" ht="21" x14ac:dyDescent="0.25">
      <c r="A1" s="122" t="str">
        <f>CONCATENATE("M-AD7 – ",VLOOKUP(37,Lang!$A$6:$K$1006,Lang!$M$1+1,FALSE))</f>
        <v>M-AD7 – Podíl obyvatel bydlících v záplavovém území Q₁₀₀ z celkového počtu obyvatel</v>
      </c>
      <c r="B1" s="122"/>
    </row>
    <row r="2" spans="1:2" ht="28.5" customHeight="1" x14ac:dyDescent="0.25">
      <c r="A2" s="88" t="str">
        <f>VLOOKUP(130,Lang!$A$6:$K$1006,Lang!$M$1+1,FALSE)</f>
        <v>Metodický list indikátoru</v>
      </c>
    </row>
    <row r="4" spans="1:2" x14ac:dyDescent="0.25">
      <c r="A4" s="6" t="str">
        <f>VLOOKUP(287,Lang!$A$6:$K$1006,Lang!$M$1+1,FALSE)</f>
        <v>Podíl zranitelných osob</v>
      </c>
      <c r="B4" s="128"/>
    </row>
    <row r="5" spans="1:2" x14ac:dyDescent="0.25">
      <c r="B5" s="136"/>
    </row>
    <row r="6" spans="1:2" x14ac:dyDescent="0.25">
      <c r="A6" s="13" t="str">
        <f>VLOOKUP(400,Lang!$A$6:$K$1006,Lang!$M$1+1,FALSE)</f>
        <v>Pomůcka - pomocný výpočet</v>
      </c>
      <c r="B6" s="136"/>
    </row>
    <row r="7" spans="1:2" s="49" customFormat="1" x14ac:dyDescent="0.25">
      <c r="A7" s="47" t="str">
        <f>VLOOKUP(293,Lang!$A$6:$K$1006,Lang!$M$1+1,FALSE)</f>
        <v>Do žlutého pole zadejte počet obyvatel žijících v území Q₁₀₀, podíl v % se dopočte</v>
      </c>
      <c r="B7" s="138"/>
    </row>
    <row r="8" spans="1:2" ht="18" x14ac:dyDescent="0.35">
      <c r="A8" s="52" t="str">
        <f>VLOOKUP(294,Lang!$A$6:$K$1006,Lang!$M$1+1,FALSE)</f>
        <v>Počet obyvatel žijících v záplavovém území Q₁₀₀</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30" t="str">
        <f>IF('M-POP1'!B4="",VLOOKUP(93,Lang!$A$6:$K$1006,Lang!$M$1+1,FALSE),VLOOKUP(94,Lang!$A$6:$K$1006,Lang!$M$1+1,FALSE))</f>
        <v>Výpočet nemůže proběhnout</v>
      </c>
      <c r="B10" s="16" t="str">
        <f>IF('M-POP1'!B4="","N/A",+B8/B9)</f>
        <v>N/A</v>
      </c>
    </row>
    <row r="13" spans="1:2" x14ac:dyDescent="0.25">
      <c r="A13" s="18"/>
    </row>
    <row r="14" spans="1:2" x14ac:dyDescent="0.25">
      <c r="A14" s="18"/>
    </row>
    <row r="15" spans="1:2" x14ac:dyDescent="0.25">
      <c r="A15" s="18"/>
    </row>
  </sheetData>
  <sheetProtection sheet="1" objects="1" scenarios="1"/>
  <mergeCells count="1">
    <mergeCell ref="A1:B1"/>
  </mergeCells>
  <conditionalFormatting sqref="D11">
    <cfRule type="expression" dxfId="61" priority="1">
      <formula>$D$7="OK"</formula>
    </cfRule>
  </conditionalFormatting>
  <dataValidations count="2">
    <dataValidation type="whole" allowBlank="1" showInputMessage="1" showErrorMessage="1" errorTitle="Chybný vstup" error="Interval: min: 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9" location="'M-POP1'!B4" display="'M-POP1'!B4"/>
  </hyperlinks>
  <pageMargins left="0.7" right="0.7" top="0.78740157499999996" bottom="0.78740157499999996"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workbookViewId="0">
      <selection activeCell="A20" sqref="A20"/>
    </sheetView>
  </sheetViews>
  <sheetFormatPr defaultRowHeight="15" x14ac:dyDescent="0.25"/>
  <cols>
    <col min="1" max="1" width="115.42578125" style="1" customWidth="1"/>
    <col min="2" max="2" width="18.85546875" customWidth="1"/>
    <col min="3" max="3" width="17.85546875" customWidth="1"/>
    <col min="4" max="4" width="13.28515625" customWidth="1"/>
    <col min="5" max="5" width="9.140625" customWidth="1"/>
    <col min="6" max="6" width="18.5703125" hidden="1" customWidth="1"/>
  </cols>
  <sheetData>
    <row r="1" spans="1:2" s="49" customFormat="1" ht="65.099999999999994" customHeight="1" x14ac:dyDescent="0.25">
      <c r="A1" s="122" t="str">
        <f>CONCATENATE("M-AD8 – ",VLOOKUP(38,Lang!$A$6:$K$1006,Lang!$M$1+1,FALSE))</f>
        <v>M-AD8 – Počet starých ekologických zátěží na území města</v>
      </c>
      <c r="B1" s="122"/>
    </row>
    <row r="2" spans="1:2" ht="28.5" customHeight="1" x14ac:dyDescent="0.25">
      <c r="A2" s="88" t="str">
        <f>VLOOKUP(130,Lang!$A$6:$K$1006,Lang!$M$1+1,FALSE)</f>
        <v>Metodický list indikátoru</v>
      </c>
    </row>
    <row r="4" spans="1:2" x14ac:dyDescent="0.25">
      <c r="A4" s="6" t="str">
        <f>VLOOKUP(288,Lang!$A$6:$K$1006,Lang!$M$1+1,FALSE)</f>
        <v xml:space="preserve">Počet starých ekologických zátěží/1000 ha </v>
      </c>
      <c r="B4" s="139"/>
    </row>
    <row r="5" spans="1:2" x14ac:dyDescent="0.25">
      <c r="B5" s="136"/>
    </row>
    <row r="6" spans="1:2" x14ac:dyDescent="0.25">
      <c r="A6" s="13" t="str">
        <f>VLOOKUP(400,Lang!$A$6:$K$1006,Lang!$M$1+1,FALSE)</f>
        <v>Pomůcka - pomocný výpočet</v>
      </c>
      <c r="B6" s="136"/>
    </row>
    <row r="7" spans="1:2" s="49" customFormat="1" x14ac:dyDescent="0.25">
      <c r="A7" s="47" t="str">
        <f>VLOOKUP(291,Lang!$A$6:$K$1006,Lang!$M$1+1,FALSE)</f>
        <v>Do žlutého pole zadejte počet starých ekologických zátěží</v>
      </c>
      <c r="B7" s="138"/>
    </row>
    <row r="8" spans="1:2" x14ac:dyDescent="0.25">
      <c r="A8" s="1" t="str">
        <f>VLOOKUP(292,Lang!$A$6:$K$1006,Lang!$M$1+1,FALSE)</f>
        <v>Počet starých ekologických zátěží</v>
      </c>
      <c r="B8" s="141"/>
    </row>
    <row r="9" spans="1:2" ht="15.75" thickBot="1" x14ac:dyDescent="0.3">
      <c r="A9" s="94" t="str">
        <f>IF('M-POP2'!B4="",VLOOKUP(230,Lang!$A$6:$K$1006,Lang!$M$1+1,FALSE),VLOOKUP(231,Lang!$A$6:$K$1006,Lang!$M$1+1,FALSE))</f>
        <v>Zadejte nejprve hodnotu POP2</v>
      </c>
      <c r="B9" t="str">
        <f>IF('M-POP2'!B4="","N/A",'M-POP2'!B4)</f>
        <v>N/A</v>
      </c>
    </row>
    <row r="10" spans="1:2" ht="15.75" thickBot="1" x14ac:dyDescent="0.3">
      <c r="A10" s="30" t="str">
        <f>IF('M-POP2'!B4="",VLOOKUP(93,Lang!$A$6:$K$1006,Lang!$M$1+1,FALSE),VLOOKUP(290,Lang!$A$6:$K$1006,Lang!$M$1+1,FALSE))</f>
        <v>Výpočet nemůže proběhnout</v>
      </c>
      <c r="B10" s="20" t="str">
        <f>IF('M-POP2'!B4="","N/A",B8/('M-POP2'!B4/1000))</f>
        <v>N/A</v>
      </c>
    </row>
  </sheetData>
  <sheetProtection sheet="1" objects="1" scenarios="1"/>
  <mergeCells count="1">
    <mergeCell ref="A1:B1"/>
  </mergeCells>
  <dataValidations count="2">
    <dataValidation type="decimal" allowBlank="1" showInputMessage="1" showErrorMessage="1" errorTitle="Chybná hodnota" sqref="B4">
      <formula1>0</formula1>
      <formula2>9.99999999999999E+21</formula2>
    </dataValidation>
    <dataValidation type="decimal" allowBlank="1" showInputMessage="1" showErrorMessage="1" errorTitle="Chybný vstup" error="Interval: &gt;=0" sqref="B8">
      <formula1>0</formula1>
      <formula2>100000000000</formula2>
    </dataValidation>
  </dataValidations>
  <hyperlinks>
    <hyperlink ref="A9" location="'M-POP2'!B4" display="'M-POP2'!B4"/>
  </hyperlinks>
  <pageMargins left="0.7" right="0.7" top="0.78740157499999996" bottom="0.78740157499999996"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5"/>
  <sheetViews>
    <sheetView showGridLines="0" workbookViewId="0">
      <selection activeCell="B8" sqref="B8"/>
    </sheetView>
  </sheetViews>
  <sheetFormatPr defaultRowHeight="15" x14ac:dyDescent="0.25"/>
  <cols>
    <col min="1" max="1" width="110.28515625" style="1" customWidth="1"/>
    <col min="2" max="2" width="18.85546875" customWidth="1"/>
    <col min="3" max="3" width="17.85546875" customWidth="1"/>
    <col min="4" max="4" width="13.28515625" customWidth="1"/>
    <col min="5" max="7" width="9.140625" customWidth="1"/>
    <col min="8" max="8" width="18.5703125" hidden="1" customWidth="1"/>
  </cols>
  <sheetData>
    <row r="1" spans="1:2" ht="65.099999999999994" customHeight="1" x14ac:dyDescent="0.25">
      <c r="A1" s="122" t="str">
        <f>CONCATENATE("M-AD9 – ",VLOOKUP(39,Lang!$A$6:$K$1006,Lang!$M$1+1,FALSE))</f>
        <v>M-AD9 – Podíl počtu obyvatel bydlících v území ohroženém povodněmi z přívalových srážek z celkového počtu obyvatel</v>
      </c>
      <c r="B1" s="122"/>
    </row>
    <row r="2" spans="1:2" ht="28.5" customHeight="1" x14ac:dyDescent="0.25">
      <c r="A2" s="88" t="str">
        <f>VLOOKUP(130,Lang!$A$6:$K$1006,Lang!$M$1+1,FALSE)</f>
        <v>Metodický list indikátoru</v>
      </c>
    </row>
    <row r="4" spans="1:2" x14ac:dyDescent="0.25">
      <c r="A4" s="6" t="str">
        <f>VLOOKUP(289,Lang!$A$6:$K$1006,Lang!$M$1+1,FALSE)</f>
        <v>Podíl počtu obyvatel v území ohroženém povodněmi z přívalových srážek</v>
      </c>
      <c r="B4" s="128"/>
    </row>
    <row r="5" spans="1:2" x14ac:dyDescent="0.25">
      <c r="B5" s="136"/>
    </row>
    <row r="6" spans="1:2" x14ac:dyDescent="0.25">
      <c r="A6" s="13" t="str">
        <f>VLOOKUP(400,Lang!$A$6:$K$1006,Lang!$M$1+1,FALSE)</f>
        <v>Pomůcka - pomocný výpočet</v>
      </c>
      <c r="B6" s="136"/>
    </row>
    <row r="7" spans="1:2" s="49" customFormat="1" x14ac:dyDescent="0.25">
      <c r="A7" s="47" t="str">
        <f>VLOOKUP(295,Lang!$A$6:$K$1006,Lang!$M$1+1,FALSE)</f>
        <v>Do žlutého pole zadejte počet obyvatel v ohroženém území, podíl v % se dopočte</v>
      </c>
      <c r="B7" s="138"/>
    </row>
    <row r="8" spans="1:2" x14ac:dyDescent="0.25">
      <c r="A8" s="1" t="str">
        <f>VLOOKUP(296,Lang!$A$6:$K$1006,Lang!$M$1+1,FALSE)</f>
        <v>Počet obyvatel v ohroženém území</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30" t="str">
        <f>IF('M-POP1'!B4="",VLOOKUP(93,Lang!$A$6:$K$1006,Lang!$M$1+1,FALSE),VLOOKUP(94,Lang!$A$6:$K$1006,Lang!$M$1+1,FALSE))</f>
        <v>Výpočet nemůže proběhnout</v>
      </c>
      <c r="B10" s="16" t="str">
        <f>IF('M-POP1'!B4="","N/A",+B8/B9)</f>
        <v>N/A</v>
      </c>
    </row>
    <row r="13" spans="1:2" x14ac:dyDescent="0.25">
      <c r="A13" s="18"/>
    </row>
    <row r="14" spans="1:2" x14ac:dyDescent="0.25">
      <c r="A14" s="18"/>
    </row>
    <row r="15" spans="1:2" x14ac:dyDescent="0.25">
      <c r="A15" s="18"/>
    </row>
  </sheetData>
  <sheetProtection sheet="1" objects="1" scenarios="1"/>
  <mergeCells count="1">
    <mergeCell ref="A1:B1"/>
  </mergeCells>
  <conditionalFormatting sqref="D11">
    <cfRule type="expression" dxfId="60" priority="1">
      <formula>$D$7="OK"</formula>
    </cfRule>
  </conditionalFormatting>
  <dataValidations count="2">
    <dataValidation type="whole" allowBlank="1" showInputMessage="1" showErrorMessage="1" errorTitle="Chybný vstup" error="Interval: min: 0; max: B9_x000a_"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9" location="'M-POP1'!B4" display="'M-POP1'!B4"/>
  </hyperlinks>
  <pageMargins left="0.7" right="0.7" top="0.78740157499999996" bottom="0.78740157499999996"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9"/>
  <sheetViews>
    <sheetView showGridLines="0" zoomScale="110" zoomScaleNormal="110" workbookViewId="0">
      <selection activeCell="B4" sqref="B4"/>
    </sheetView>
  </sheetViews>
  <sheetFormatPr defaultRowHeight="15" x14ac:dyDescent="0.25"/>
  <cols>
    <col min="1" max="1" width="101.85546875" style="1" customWidth="1"/>
    <col min="2" max="2" width="18.85546875" customWidth="1"/>
    <col min="3" max="3" width="17.85546875" customWidth="1"/>
    <col min="4" max="4" width="13.28515625" customWidth="1"/>
    <col min="5" max="7" width="9.140625" customWidth="1"/>
    <col min="8" max="8" width="18.5703125" hidden="1" customWidth="1"/>
  </cols>
  <sheetData>
    <row r="1" spans="1:2" ht="74.099999999999994" customHeight="1" x14ac:dyDescent="0.25">
      <c r="A1" s="122" t="str">
        <f>CONCATENATE("M-AD10 – ",VLOOKUP(40,Lang!$A$6:$K$1006,Lang!$M$1+1,FALSE))</f>
        <v>M-AD10 – Podíl počtu kritických objektů ležících v záplavovém území říčních záplav Q₁₀₀ z celkového počtu kritických objektů</v>
      </c>
      <c r="B1" s="122"/>
    </row>
    <row r="2" spans="1:2" ht="28.5" customHeight="1" x14ac:dyDescent="0.25">
      <c r="A2" s="88" t="str">
        <f>VLOOKUP(130,Lang!$A$6:$K$1006,Lang!$M$1+1,FALSE)</f>
        <v>Metodický list indikátoru</v>
      </c>
    </row>
    <row r="4" spans="1:2" ht="18" x14ac:dyDescent="0.35">
      <c r="A4" s="50" t="str">
        <f>VLOOKUP(224,Lang!$A$6:$K$1006,Lang!$M$1+1,FALSE)</f>
        <v>Podíl kritických obj. ohrožených v záplav. území Q₁₀₀ (%)</v>
      </c>
      <c r="B4" s="130"/>
    </row>
    <row r="9" spans="1:2" x14ac:dyDescent="0.25">
      <c r="A9" s="87"/>
    </row>
  </sheetData>
  <sheetProtection sheet="1" objects="1" scenarios="1"/>
  <mergeCells count="1">
    <mergeCell ref="A1:B1"/>
  </mergeCells>
  <dataValidations count="1">
    <dataValidation type="decimal" allowBlank="1" showInputMessage="1" showErrorMessage="1" errorTitle="Chybná hodnota" error="Povolenou hodnotou jsou % v intervalu 0,00 % - 100 %" sqref="B4">
      <formula1>0</formula1>
      <formula2>1</formula2>
    </dataValidation>
  </dataValidations>
  <pageMargins left="0.7" right="0.7" top="0.78740157499999996" bottom="0.78740157499999996"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
  <sheetViews>
    <sheetView showGridLines="0" workbookViewId="0">
      <selection activeCell="B4" sqref="B4"/>
    </sheetView>
  </sheetViews>
  <sheetFormatPr defaultRowHeight="15" x14ac:dyDescent="0.25"/>
  <cols>
    <col min="1" max="1" width="105.42578125" style="1" customWidth="1"/>
    <col min="2" max="2" width="18.85546875" customWidth="1"/>
    <col min="3" max="3" width="17.85546875" customWidth="1"/>
    <col min="4" max="4" width="13.28515625" customWidth="1"/>
    <col min="5" max="6" width="9.140625" customWidth="1"/>
    <col min="7" max="7" width="18.5703125" hidden="1" customWidth="1"/>
  </cols>
  <sheetData>
    <row r="1" spans="1:2" ht="65.099999999999994" customHeight="1" x14ac:dyDescent="0.25">
      <c r="A1" s="122" t="str">
        <f>CONCATENATE("M-AD11 – ",VLOOKUP(41,Lang!$A$6:$K$1006,Lang!$M$1+1,FALSE))</f>
        <v>M-AD11 – Podíl pitné vody na celkové spotřebě vody na zalévání veřejné zeleně</v>
      </c>
      <c r="B1" s="122"/>
    </row>
    <row r="2" spans="1:2" ht="28.5" customHeight="1" x14ac:dyDescent="0.25">
      <c r="A2" s="88" t="str">
        <f>VLOOKUP(130,Lang!$A$6:$K$1006,Lang!$M$1+1,FALSE)</f>
        <v>Metodický list indikátoru</v>
      </c>
    </row>
    <row r="4" spans="1:2" x14ac:dyDescent="0.25">
      <c r="A4" s="6" t="str">
        <f>VLOOKUP(225,Lang!$A$6:$K$1006,Lang!$M$1+1,FALSE)</f>
        <v>Podíl pitné vody na spotřebě na zálivku zeleně (%)</v>
      </c>
      <c r="B4" s="128"/>
    </row>
  </sheetData>
  <sheetProtection sheet="1" objects="1" scenarios="1"/>
  <mergeCells count="1">
    <mergeCell ref="A1:B1"/>
  </mergeCells>
  <dataValidations count="1">
    <dataValidation type="decimal" allowBlank="1" showInputMessage="1" showErrorMessage="1" errorTitle="Chybná hodnota" error="Povolenou hodnotou jsou % v intervalu 0,00 % - 100 %" sqref="B4">
      <formula1>0</formula1>
      <formula2>1</formula2>
    </dataValidation>
  </dataValidations>
  <pageMargins left="0.7" right="0.7" top="0.78740157499999996" bottom="0.78740157499999996"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5"/>
  <sheetViews>
    <sheetView showGridLines="0" workbookViewId="0">
      <selection activeCell="D19" sqref="D19"/>
    </sheetView>
  </sheetViews>
  <sheetFormatPr defaultRowHeight="15" x14ac:dyDescent="0.25"/>
  <cols>
    <col min="1" max="1" width="119.42578125" style="1" customWidth="1"/>
    <col min="2" max="2" width="19.140625" customWidth="1"/>
    <col min="3" max="3" width="17.85546875" customWidth="1"/>
    <col min="4" max="4" width="13.28515625" customWidth="1"/>
    <col min="5" max="7" width="9.140625" customWidth="1"/>
    <col min="8" max="8" width="18.5703125" hidden="1" customWidth="1"/>
  </cols>
  <sheetData>
    <row r="1" spans="1:2" ht="65.099999999999994" customHeight="1" x14ac:dyDescent="0.25">
      <c r="A1" s="122" t="str">
        <f>CONCATENATE("M-AD12 – ",VLOOKUP(42,Lang!$A$6:$K$1006,Lang!$M$1+1,FALSE))</f>
        <v>M-AD12 – Spotřeba pitné vody ve městě/městské části/obci z veřejných zdrojů</v>
      </c>
      <c r="B1" s="122"/>
    </row>
    <row r="2" spans="1:2" ht="28.5" customHeight="1" x14ac:dyDescent="0.25">
      <c r="A2" s="88" t="str">
        <f>VLOOKUP(130,Lang!$A$6:$K$1006,Lang!$M$1+1,FALSE)</f>
        <v>Metodický list indikátoru</v>
      </c>
    </row>
    <row r="4" spans="1:2" x14ac:dyDescent="0.25">
      <c r="A4" s="5" t="str">
        <f>VLOOKUP(297,Lang!$A$6:$K$1006,Lang!$M$1+1,FALSE)</f>
        <v>Spotřeba pitné vody (l/obyv/den)</v>
      </c>
      <c r="B4" s="139"/>
    </row>
    <row r="5" spans="1:2" x14ac:dyDescent="0.25">
      <c r="B5" s="136"/>
    </row>
    <row r="6" spans="1:2" x14ac:dyDescent="0.25">
      <c r="A6" s="13" t="str">
        <f>VLOOKUP(400,Lang!$A$6:$K$1006,Lang!$M$1+1,FALSE)</f>
        <v>Pomůcka - pomocný výpočet</v>
      </c>
      <c r="B6" s="136"/>
    </row>
    <row r="7" spans="1:2" s="49" customFormat="1" x14ac:dyDescent="0.25">
      <c r="A7" s="47" t="str">
        <f>VLOOKUP(298,Lang!$A$6:$K$1006,Lang!$M$1+1,FALSE)</f>
        <v>Do žlutého pole zadejte celkovou spotřebu vody ve městě</v>
      </c>
      <c r="B7" s="138"/>
    </row>
    <row r="8" spans="1:2" ht="17.25" x14ac:dyDescent="0.25">
      <c r="A8" s="1" t="str">
        <f>VLOOKUP(299,Lang!$A$6:$K$1006,Lang!$M$1+1,FALSE)</f>
        <v>Roční spotřeba vody ve městě (m³)</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21" t="str">
        <f>IF('M-POP1'!B4="",VLOOKUP(93,Lang!$A$6:$K$1006,Lang!$M$1+1,FALSE),VLOOKUP(300,Lang!$A$6:$K$1006,Lang!$M$1+1,FALSE))</f>
        <v>Výpočet nemůže proběhnout</v>
      </c>
      <c r="B10" s="22" t="str">
        <f>IF('M-POP1'!B4="","N/A",+B8*1000/365/B9)</f>
        <v>N/A</v>
      </c>
    </row>
    <row r="13" spans="1:2" x14ac:dyDescent="0.25">
      <c r="A13" s="18"/>
    </row>
    <row r="14" spans="1:2" x14ac:dyDescent="0.25">
      <c r="A14" s="18"/>
    </row>
    <row r="15" spans="1:2" x14ac:dyDescent="0.25">
      <c r="A15" s="18"/>
    </row>
  </sheetData>
  <sheetProtection sheet="1" objects="1" scenarios="1"/>
  <mergeCells count="1">
    <mergeCell ref="A1:B1"/>
  </mergeCells>
  <dataValidations count="2">
    <dataValidation type="decimal" allowBlank="1" showInputMessage="1" showErrorMessage="1" errorTitle="Chybná hodnota" error="Povolenou hodnotou jsou % v intervalu 0,00 % - 100 %" sqref="B4">
      <formula1>0</formula1>
      <formula2>9999999999999990</formula2>
    </dataValidation>
    <dataValidation type="whole" allowBlank="1" showInputMessage="1" showErrorMessage="1" errorTitle="Chybný vstup" error="Interval: &gt;=0" sqref="B8">
      <formula1>0</formula1>
      <formula2>999999999999999000000</formula2>
    </dataValidation>
  </dataValidations>
  <hyperlinks>
    <hyperlink ref="A9" location="'M-POP1'!B4" display="'M-POP1'!B4"/>
  </hyperlinks>
  <pageMargins left="0.7" right="0.7" top="0.78740157499999996" bottom="0.78740157499999996"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
  <sheetViews>
    <sheetView showGridLines="0" zoomScaleNormal="100" workbookViewId="0">
      <selection activeCell="B4" sqref="B4"/>
    </sheetView>
  </sheetViews>
  <sheetFormatPr defaultRowHeight="15" x14ac:dyDescent="0.25"/>
  <cols>
    <col min="1" max="1" width="80.140625" style="1" bestFit="1" customWidth="1"/>
    <col min="2" max="2" width="18.85546875" customWidth="1"/>
    <col min="3" max="3" width="17.85546875" customWidth="1"/>
    <col min="4" max="4" width="13.28515625" customWidth="1"/>
    <col min="5" max="5" width="9.140625" customWidth="1"/>
    <col min="6" max="6" width="18.5703125" hidden="1" customWidth="1"/>
  </cols>
  <sheetData>
    <row r="1" spans="1:2" ht="21" x14ac:dyDescent="0.35">
      <c r="A1" s="43" t="str">
        <f>CONCATENATE("M-POP1 – ",VLOOKUP(7,Lang!$A$6:$K$1006,Lang!$M$1+1,FALSE))</f>
        <v xml:space="preserve">M-POP1 – Počet obyvatel </v>
      </c>
    </row>
    <row r="2" spans="1:2" ht="28.5" customHeight="1" x14ac:dyDescent="0.25">
      <c r="A2" s="88" t="str">
        <f>VLOOKUP(130,Lang!$A$6:$K$1006,Lang!$M$1+1,FALSE)</f>
        <v>Metodický list indikátoru</v>
      </c>
    </row>
    <row r="4" spans="1:2" x14ac:dyDescent="0.25">
      <c r="A4" s="6" t="str">
        <f>VLOOKUP(78,Lang!$A$6:$K$1006,Lang!$M$1+1,FALSE)</f>
        <v>Zadejte počet obyvatel</v>
      </c>
      <c r="B4" s="126"/>
    </row>
    <row r="5" spans="1:2" x14ac:dyDescent="0.25">
      <c r="A5" s="6" t="str">
        <f>VLOOKUP(79,Lang!$A$6:$K$1006,Lang!$M$1+1,FALSE)</f>
        <v>Z toho obyvatel 15+</v>
      </c>
      <c r="B5" s="126"/>
    </row>
  </sheetData>
  <sheetProtection sheet="1" objects="1" scenarios="1"/>
  <dataValidations count="2">
    <dataValidation type="whole" allowBlank="1" showInputMessage="1" showErrorMessage="1" errorTitle="Chybný vstup" error="Přípustnou hodnotou je celé kladné číslo v intervalu 1 - 15 000 000." sqref="B4">
      <formula1>1</formula1>
      <formula2>15000000</formula2>
    </dataValidation>
    <dataValidation type="whole" allowBlank="1" showInputMessage="1" showErrorMessage="1" errorTitle="Chybný vstup" error="Min: 1; Max B4" sqref="B5">
      <formula1>1</formula1>
      <formula2>B4</formula2>
    </dataValidation>
  </dataValidations>
  <pageMargins left="0.7" right="0.7" top="0.78740157499999996" bottom="0.78740157499999996"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4"/>
  <sheetViews>
    <sheetView showGridLines="0" workbookViewId="0">
      <selection activeCell="B10" sqref="B10"/>
    </sheetView>
  </sheetViews>
  <sheetFormatPr defaultRowHeight="15" x14ac:dyDescent="0.25"/>
  <cols>
    <col min="1" max="1" width="112.5703125" style="1" bestFit="1" customWidth="1"/>
    <col min="2" max="2" width="18.85546875" customWidth="1"/>
    <col min="3" max="3" width="17.85546875" customWidth="1"/>
    <col min="4" max="4" width="13.28515625" customWidth="1"/>
    <col min="5" max="7" width="9.140625" customWidth="1"/>
    <col min="8" max="8" width="18.5703125" hidden="1" customWidth="1"/>
  </cols>
  <sheetData>
    <row r="1" spans="1:2" ht="56.25" customHeight="1" x14ac:dyDescent="0.25">
      <c r="A1" s="122" t="str">
        <f>CONCATENATE("M-AD13 – ",VLOOKUP(43,Lang!$A$6:$K$1006,Lang!$M$1+1,FALSE))</f>
        <v>M-AD13 – Průměrná využitelná kapacita zdrojů pitné vody pro potřeby města/městské části/obce na obyvatele města/městské části/obce</v>
      </c>
      <c r="B1" s="122"/>
    </row>
    <row r="2" spans="1:2" ht="28.5" customHeight="1" x14ac:dyDescent="0.25">
      <c r="A2" s="88" t="str">
        <f>VLOOKUP(130,Lang!$A$6:$K$1006,Lang!$M$1+1,FALSE)</f>
        <v>Metodický list indikátoru</v>
      </c>
    </row>
    <row r="4" spans="1:2" x14ac:dyDescent="0.25">
      <c r="A4" s="5" t="str">
        <f>VLOOKUP(301,Lang!$A$6:$K$1006,Lang!$M$1+1,FALSE)</f>
        <v>Kapacita zdrojů (l/s na 1000 obyvatel)</v>
      </c>
      <c r="B4" s="139"/>
    </row>
    <row r="6" spans="1:2" x14ac:dyDescent="0.25">
      <c r="A6" s="13" t="str">
        <f>VLOOKUP(400,Lang!$A$6:$K$1006,Lang!$M$1+1,FALSE)</f>
        <v>Pomůcka - pomocný výpočet</v>
      </c>
    </row>
    <row r="7" spans="1:2" s="49" customFormat="1" x14ac:dyDescent="0.25">
      <c r="A7" s="47" t="str">
        <f>VLOOKUP(302,Lang!$A$6:$K$1006,Lang!$M$1+1,FALSE)</f>
        <v>Do žlutého pole zadejte kapacitu zdrojů vody v l/s, hodnota se dopočte</v>
      </c>
    </row>
    <row r="8" spans="1:2" x14ac:dyDescent="0.25">
      <c r="A8" s="1" t="str">
        <f>VLOOKUP(303,Lang!$A$6:$K$1006,Lang!$M$1+1,FALSE)</f>
        <v xml:space="preserve">Kapacita zdrojů pitné vody l/s </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21" t="str">
        <f>IF('M-POP1'!B4="",VLOOKUP(93,Lang!$A$6:$K$1006,Lang!$M$1+1,FALSE),VLOOKUP(304,Lang!$A$6:$K$1006,Lang!$M$1+1,FALSE))</f>
        <v>Výpočet nemůže proběhnout</v>
      </c>
      <c r="B10" s="22" t="str">
        <f>IF('M-POP1'!B4="","N/A",+B8/(B9/1000))</f>
        <v>N/A</v>
      </c>
    </row>
    <row r="13" spans="1:2" x14ac:dyDescent="0.25">
      <c r="A13" s="105"/>
    </row>
    <row r="14" spans="1:2" x14ac:dyDescent="0.25">
      <c r="A14" s="47"/>
    </row>
  </sheetData>
  <sheetProtection sheet="1" objects="1" scenarios="1"/>
  <mergeCells count="1">
    <mergeCell ref="A1:B1"/>
  </mergeCells>
  <dataValidations count="2">
    <dataValidation type="whole" allowBlank="1" showInputMessage="1" showErrorMessage="1" errorTitle="Chybný vstup" error="Interval: &gt;=0_x000a_" sqref="B8">
      <formula1>0</formula1>
      <formula2>99999999999999900</formula2>
    </dataValidation>
    <dataValidation type="decimal" allowBlank="1" showInputMessage="1" showErrorMessage="1" errorTitle="Chybná hodnota" error="Povolenou hodnotou jsou % v intervalu 0,00 % - 100 %" sqref="B4">
      <formula1>0</formula1>
      <formula2>9999999999999990</formula2>
    </dataValidation>
  </dataValidations>
  <hyperlinks>
    <hyperlink ref="A9" location="'M-POP1'!B4" display="'M-POP1'!B4"/>
  </hyperlinks>
  <pageMargins left="0.7" right="0.7" top="0.78740157499999996" bottom="0.78740157499999996"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4"/>
  <sheetViews>
    <sheetView showGridLines="0" workbookViewId="0">
      <selection activeCell="D28" sqref="D28"/>
    </sheetView>
  </sheetViews>
  <sheetFormatPr defaultRowHeight="15" x14ac:dyDescent="0.25"/>
  <cols>
    <col min="1" max="1" width="103.42578125" style="1" customWidth="1"/>
    <col min="2" max="2" width="18.85546875" customWidth="1"/>
    <col min="3" max="3" width="17.85546875" customWidth="1"/>
    <col min="4" max="4" width="13.28515625" customWidth="1"/>
    <col min="5" max="7" width="9.140625" customWidth="1"/>
    <col min="8" max="8" width="18.5703125" hidden="1" customWidth="1"/>
  </cols>
  <sheetData>
    <row r="1" spans="1:2" s="48" customFormat="1" ht="65.099999999999994" customHeight="1" x14ac:dyDescent="0.25">
      <c r="A1" s="122" t="str">
        <f>CONCATENATE("M-AD14 – ",VLOOKUP(44,Lang!$A$6:$K$1006,Lang!$M$1+1,FALSE))</f>
        <v>M-AD14 – Lesní porosty náchylné k ohrožení suchem</v>
      </c>
      <c r="B1" s="122"/>
    </row>
    <row r="2" spans="1:2" ht="28.5" customHeight="1" x14ac:dyDescent="0.25">
      <c r="A2" s="88" t="str">
        <f>VLOOKUP(130,Lang!$A$6:$K$1006,Lang!$M$1+1,FALSE)</f>
        <v>Metodický list indikátoru</v>
      </c>
    </row>
    <row r="3" spans="1:2" x14ac:dyDescent="0.25">
      <c r="A3" s="1" t="str">
        <f>IF('M-POP5'!B4="","","")</f>
        <v/>
      </c>
    </row>
    <row r="4" spans="1:2" x14ac:dyDescent="0.25">
      <c r="A4" s="6" t="str">
        <f>VLOOKUP(305,Lang!$A$6:$K$1006,Lang!$M$1+1,FALSE)</f>
        <v>Podíl ohrožených lesních porostů</v>
      </c>
      <c r="B4" s="128"/>
    </row>
    <row r="6" spans="1:2" x14ac:dyDescent="0.25">
      <c r="A6" s="13" t="str">
        <f>VLOOKUP(400,Lang!$A$6:$K$1006,Lang!$M$1+1,FALSE)</f>
        <v>Pomůcka - pomocný výpočet</v>
      </c>
    </row>
    <row r="7" spans="1:2" s="49" customFormat="1" x14ac:dyDescent="0.25">
      <c r="A7" s="47" t="str">
        <f>VLOOKUP(306,Lang!$A$6:$K$1006,Lang!$M$1+1,FALSE)</f>
        <v>Do žlutého pole zadejte plochu ohrožených lesů</v>
      </c>
    </row>
    <row r="8" spans="1:2" x14ac:dyDescent="0.25">
      <c r="A8" s="1" t="str">
        <f>VLOOKUP(307,Lang!$A$6:$K$1006,Lang!$M$1+1,FALSE)</f>
        <v>Plocha ohrožených lesů (ha)</v>
      </c>
      <c r="B8" s="127"/>
    </row>
    <row r="9" spans="1:2" ht="15.75" thickBot="1" x14ac:dyDescent="0.3">
      <c r="A9" s="1" t="str">
        <f>IF(OR('M-POP2'!B4="",'M-POP5'!B4=""),VLOOKUP(308,Lang!$A$6:$K$1006,Lang!$M$1+1,FALSE),VLOOKUP(309,Lang!$A$6:$K$1006,Lang!$M$1+1,FALSE))</f>
        <v>Musí být zadána hodnota indikátorů M-POP2 a M-POP5</v>
      </c>
      <c r="B9" t="str">
        <f>IF(OR('M-POP2'!B4="",'M-POP5'!B4=""),"N/A",'M-POP5'!B4*'M-POP2'!B4)</f>
        <v>N/A</v>
      </c>
    </row>
    <row r="10" spans="1:2" ht="15.75" thickBot="1" x14ac:dyDescent="0.3">
      <c r="A10" s="15" t="str">
        <f>IF(OR('M-POP2'!B4="",'M-POP5'!B4=""),VLOOKUP(308,Lang!$A$6:$K$1006,Lang!$M$1+1,FALSE),VLOOKUP(94,Lang!$A$6:$K$1006,Lang!$M$1+1,FALSE))</f>
        <v>Musí být zadána hodnota indikátorů M-POP2 a M-POP5</v>
      </c>
      <c r="B10" s="16" t="str">
        <f>IF(OR('M-POP2'!B4="",'M-POP5'!B4=""),"N/A",IF(B9=0,0,B8/B9))</f>
        <v>N/A</v>
      </c>
    </row>
    <row r="13" spans="1:2" x14ac:dyDescent="0.25">
      <c r="A13" s="12"/>
    </row>
    <row r="14" spans="1:2" x14ac:dyDescent="0.25">
      <c r="A14" s="47"/>
    </row>
  </sheetData>
  <sheetProtection sheet="1" objects="1" scenarios="1"/>
  <mergeCells count="1">
    <mergeCell ref="A1:B1"/>
  </mergeCells>
  <dataValidations count="2">
    <dataValidation type="decimal" allowBlank="1" showInputMessage="1" showErrorMessage="1" errorTitle="Chybný vstup" error="Vstupní hodnotou je nezáporné číslo. Plocha ohrožených lesů přitom nesmí být větší než celková plocha lesů v indikátoru M-POP5."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pageMargins left="0.7" right="0.7" top="0.78740157499999996" bottom="0.78740157499999996"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7"/>
  <sheetViews>
    <sheetView showGridLines="0" workbookViewId="0">
      <selection activeCell="B8" sqref="B8"/>
    </sheetView>
  </sheetViews>
  <sheetFormatPr defaultRowHeight="15" x14ac:dyDescent="0.25"/>
  <cols>
    <col min="1" max="1" width="117.28515625" style="1" customWidth="1"/>
    <col min="2" max="2" width="18.85546875" customWidth="1"/>
    <col min="3" max="3" width="17.85546875" customWidth="1"/>
    <col min="4" max="4" width="13.28515625" customWidth="1"/>
    <col min="5" max="7" width="9.140625" customWidth="1"/>
    <col min="8" max="8" width="18.5703125" hidden="1" customWidth="1"/>
  </cols>
  <sheetData>
    <row r="1" spans="1:2" ht="66" customHeight="1" x14ac:dyDescent="0.25">
      <c r="A1" s="122" t="str">
        <f>CONCATENATE("M-AD15 – ",VLOOKUP(45,Lang!$A$6:$K$1006,Lang!$M$1+1,FALSE))</f>
        <v>M-AD15 – Množství srážkové vody zachycené v katastrálním území</v>
      </c>
      <c r="B1" s="122"/>
    </row>
    <row r="2" spans="1:2" ht="28.5" customHeight="1" x14ac:dyDescent="0.25">
      <c r="A2" s="88" t="str">
        <f>VLOOKUP(130,Lang!$A$6:$K$1006,Lang!$M$1+1,FALSE)</f>
        <v>Metodický list indikátoru</v>
      </c>
    </row>
    <row r="4" spans="1:2" x14ac:dyDescent="0.25">
      <c r="A4" s="5" t="str">
        <f>VLOOKUP(310,Lang!$A$6:$K$1006,Lang!$M$1+1,FALSE)</f>
        <v>Zadržená voda na obyvatele (m³)</v>
      </c>
      <c r="B4" s="139"/>
    </row>
    <row r="6" spans="1:2" x14ac:dyDescent="0.25">
      <c r="A6" s="13" t="str">
        <f>VLOOKUP(400,Lang!$A$6:$K$1006,Lang!$M$1+1,FALSE)</f>
        <v>Pomůcka - pomocný výpočet</v>
      </c>
    </row>
    <row r="7" spans="1:2" s="49" customFormat="1" x14ac:dyDescent="0.25">
      <c r="A7" s="47" t="str">
        <f>VLOOKUP(311,Lang!$A$6:$K$1006,Lang!$M$1+1,FALSE)</f>
        <v>Do žlutého pole zadejte celkové množství vody zadržené na k.ú.</v>
      </c>
    </row>
    <row r="8" spans="1:2" x14ac:dyDescent="0.25">
      <c r="A8" s="1" t="str">
        <f>VLOOKUP(312,Lang!$A$6:$K$1006,Lang!$M$1+1,FALSE)</f>
        <v>Roční množství vody zadržené na k.ú.  (m³)</v>
      </c>
      <c r="B8" s="127"/>
    </row>
    <row r="9" spans="1:2" ht="15.75" thickBot="1" x14ac:dyDescent="0.3">
      <c r="A9" s="94" t="str">
        <f>IF('M-POP1'!B4="",VLOOKUP(124,Lang!$A$6:$K$1006,Lang!$M$1+1,FALSE),VLOOKUP(125,Lang!$A$6:$K$1006,Lang!$M$1+1,FALSE))</f>
        <v>Zadejte nejprve hodnotu M-POP1</v>
      </c>
      <c r="B9" t="str">
        <f>IF('M-POP1'!B4="","N/A",'M-POP1'!B4)</f>
        <v>N/A</v>
      </c>
    </row>
    <row r="10" spans="1:2" ht="15.75" thickBot="1" x14ac:dyDescent="0.3">
      <c r="A10" s="21" t="str">
        <f>IF('M-POP1'!B4="",VLOOKUP(93,Lang!$A$6:$K$1006,Lang!$M$1+1,FALSE),VLOOKUP(313,Lang!$A$6:$K$1006,Lang!$M$1+1,FALSE))</f>
        <v>Výpočet nemůže proběhnout</v>
      </c>
      <c r="B10" s="22" t="str">
        <f>IF('M-POP1'!B4="","N/A",+B8/B9)</f>
        <v>N/A</v>
      </c>
    </row>
    <row r="13" spans="1:2" x14ac:dyDescent="0.25">
      <c r="A13" s="18"/>
    </row>
    <row r="14" spans="1:2" x14ac:dyDescent="0.25">
      <c r="A14" s="18"/>
    </row>
    <row r="15" spans="1:2" x14ac:dyDescent="0.25">
      <c r="A15" s="18"/>
    </row>
    <row r="16" spans="1:2" x14ac:dyDescent="0.25">
      <c r="A16" s="105"/>
    </row>
    <row r="17" spans="1:1" x14ac:dyDescent="0.25">
      <c r="A17" s="47"/>
    </row>
  </sheetData>
  <sheetProtection sheet="1" objects="1" scenarios="1"/>
  <mergeCells count="1">
    <mergeCell ref="A1:B1"/>
  </mergeCells>
  <dataValidations count="2">
    <dataValidation type="decimal" allowBlank="1" showInputMessage="1" showErrorMessage="1" errorTitle="Chybný vstup" error="Vstupní hodnotou je nezáporné číslo._x000a_" sqref="B8">
      <formula1>0</formula1>
      <formula2>999999999999999</formula2>
    </dataValidation>
    <dataValidation type="decimal" allowBlank="1" showInputMessage="1" showErrorMessage="1" errorTitle="Chybná hodnota" error="Povolenou hodnotou je nezáporné číslo" sqref="B4">
      <formula1>0</formula1>
      <formula2>999999999999999</formula2>
    </dataValidation>
  </dataValidations>
  <hyperlinks>
    <hyperlink ref="A9" location="'M-POP1'!B4" display="'M-POP1'!B4"/>
  </hyperlinks>
  <pageMargins left="0.7" right="0.7" top="0.78740157499999996" bottom="0.78740157499999996"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
  <sheetViews>
    <sheetView showGridLines="0" workbookViewId="0">
      <selection activeCell="C20" sqref="C20"/>
    </sheetView>
  </sheetViews>
  <sheetFormatPr defaultRowHeight="15" x14ac:dyDescent="0.25"/>
  <cols>
    <col min="1" max="1" width="86.42578125" style="1" customWidth="1"/>
    <col min="2" max="2" width="18.85546875" customWidth="1"/>
    <col min="3" max="3" width="17.85546875" customWidth="1"/>
    <col min="4" max="4" width="13.28515625" customWidth="1"/>
    <col min="5" max="5" width="9.140625" customWidth="1"/>
    <col min="6" max="6" width="18.5703125" hidden="1" customWidth="1"/>
  </cols>
  <sheetData>
    <row r="1" spans="1:2" ht="65.099999999999994" customHeight="1" x14ac:dyDescent="0.25">
      <c r="A1" s="122" t="str">
        <f>CONCATENATE("M-AD16 – ",VLOOKUP(46,Lang!$A$6:$K$1006,Lang!$M$1+1,FALSE))</f>
        <v>M-AD16 – Počet mimořádných klimatických událostí</v>
      </c>
      <c r="B1" s="122"/>
    </row>
    <row r="2" spans="1:2" ht="28.5" customHeight="1" x14ac:dyDescent="0.25">
      <c r="A2" s="88" t="str">
        <f>VLOOKUP(130,Lang!$A$6:$K$1006,Lang!$M$1+1,FALSE)</f>
        <v>Metodický list indikátoru</v>
      </c>
    </row>
    <row r="4" spans="1:2" x14ac:dyDescent="0.25">
      <c r="A4" s="6" t="str">
        <f>VLOOKUP(226,Lang!$A$6:$K$1006,Lang!$M$1+1,FALSE)</f>
        <v>Počet mimořádných klimatických událostí  (posledních 5 let)</v>
      </c>
      <c r="B4" s="148"/>
    </row>
  </sheetData>
  <sheetProtection sheet="1" objects="1" scenarios="1"/>
  <mergeCells count="1">
    <mergeCell ref="A1:B1"/>
  </mergeCells>
  <dataValidations count="1">
    <dataValidation type="whole" allowBlank="1" showInputMessage="1" showErrorMessage="1" errorTitle="Chybná hodnota" error="Povolenou hodnotou je nezáporné celé číslo v intervalu 0;500" sqref="B4">
      <formula1>0</formula1>
      <formula2>500</formula2>
    </dataValidation>
  </dataValidations>
  <pageMargins left="0.7" right="0.7" top="0.78740157499999996" bottom="0.78740157499999996"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G17"/>
  <sheetViews>
    <sheetView showGridLines="0" workbookViewId="0">
      <selection activeCell="A25" sqref="A25"/>
    </sheetView>
  </sheetViews>
  <sheetFormatPr defaultRowHeight="15" x14ac:dyDescent="0.25"/>
  <cols>
    <col min="3" max="3" width="9.7109375" customWidth="1"/>
    <col min="5" max="5" width="70.28515625" customWidth="1"/>
    <col min="6" max="6" width="11.42578125" customWidth="1"/>
    <col min="7" max="7" width="19.7109375" customWidth="1"/>
  </cols>
  <sheetData>
    <row r="1" spans="1:7" ht="40.5" customHeight="1" x14ac:dyDescent="0.25">
      <c r="A1" s="111" t="s">
        <v>1101</v>
      </c>
    </row>
    <row r="2" spans="1:7" x14ac:dyDescent="0.25">
      <c r="A2" s="108" t="str">
        <f>VLOOKUP(130,Lang!$A$6:$K$1006,Lang!$M$1+1,FALSE)</f>
        <v>Metodický list indikátoru</v>
      </c>
    </row>
    <row r="3" spans="1:7" ht="24.75" customHeight="1" x14ac:dyDescent="0.25">
      <c r="A3" s="3"/>
      <c r="B3" s="3"/>
      <c r="C3" s="3"/>
      <c r="D3" s="9" t="s">
        <v>38</v>
      </c>
      <c r="E3" s="9" t="str">
        <f>VLOOKUP(5,Lang!$A$6:$K$1006,Lang!$M$1+1,FALSE)</f>
        <v>Indikátor</v>
      </c>
      <c r="F3" s="9" t="str">
        <f>VLOOKUP(355,Lang!$A$6:$K$1006,Lang!$M$1+1,FALSE)</f>
        <v>Jednotka</v>
      </c>
      <c r="G3" s="9" t="str">
        <f>VLOOKUP(356,Lang!$A$6:$K$1006,Lang!$M$1+1,FALSE)</f>
        <v>Hodnota</v>
      </c>
    </row>
    <row r="4" spans="1:7" x14ac:dyDescent="0.25">
      <c r="A4" s="109" t="s">
        <v>1094</v>
      </c>
      <c r="B4" s="109" t="s">
        <v>1094</v>
      </c>
      <c r="C4" s="109" t="s">
        <v>1094</v>
      </c>
      <c r="D4" s="5" t="s">
        <v>271</v>
      </c>
      <c r="E4" s="5" t="str">
        <f>VLOOKUP(47,Lang!$A$6:$K$1006,Lang!$M$1+1,FALSE)</f>
        <v xml:space="preserve">Spotřeba dálkového tepla </v>
      </c>
      <c r="F4" s="147" t="s">
        <v>1093</v>
      </c>
      <c r="G4" s="147"/>
    </row>
    <row r="5" spans="1:7" x14ac:dyDescent="0.25">
      <c r="A5" s="109" t="s">
        <v>1094</v>
      </c>
      <c r="B5" s="109" t="s">
        <v>1094</v>
      </c>
      <c r="C5" s="109" t="s">
        <v>1094</v>
      </c>
      <c r="D5" s="5" t="s">
        <v>272</v>
      </c>
      <c r="E5" s="5" t="str">
        <f>VLOOKUP(48,Lang!$A$6:$K$1006,Lang!$M$1+1,FALSE)</f>
        <v xml:space="preserve">Spotřeba elektřiny </v>
      </c>
      <c r="F5" s="147" t="s">
        <v>1093</v>
      </c>
      <c r="G5" s="147"/>
    </row>
    <row r="6" spans="1:7" x14ac:dyDescent="0.25">
      <c r="A6" s="109" t="s">
        <v>1094</v>
      </c>
      <c r="B6" s="109" t="s">
        <v>1094</v>
      </c>
      <c r="C6" s="109" t="s">
        <v>1094</v>
      </c>
      <c r="D6" s="5" t="s">
        <v>273</v>
      </c>
      <c r="E6" s="5" t="str">
        <f>VLOOKUP(49,Lang!$A$6:$K$1006,Lang!$M$1+1,FALSE)</f>
        <v xml:space="preserve">Spotřeba zemního plynu </v>
      </c>
      <c r="F6" s="147" t="s">
        <v>1093</v>
      </c>
      <c r="G6" s="147"/>
    </row>
    <row r="7" spans="1:7" x14ac:dyDescent="0.25">
      <c r="A7" s="109" t="s">
        <v>1094</v>
      </c>
      <c r="B7" s="109" t="s">
        <v>1094</v>
      </c>
      <c r="C7" s="109" t="s">
        <v>1094</v>
      </c>
      <c r="D7" s="5" t="s">
        <v>274</v>
      </c>
      <c r="E7" s="5" t="str">
        <f>VLOOKUP(50,Lang!$A$6:$K$1006,Lang!$M$1+1,FALSE)</f>
        <v>Dopravní výkon v individuální automobilové dopravě</v>
      </c>
      <c r="F7" s="3" t="str">
        <f>VLOOKUP(354,Lang!$A$6:$K$1006,Lang!$M$1+1,FALSE)</f>
        <v>oskm</v>
      </c>
      <c r="G7" s="147"/>
    </row>
    <row r="8" spans="1:7" x14ac:dyDescent="0.25">
      <c r="A8" s="109" t="s">
        <v>1094</v>
      </c>
      <c r="B8" s="109" t="s">
        <v>1094</v>
      </c>
      <c r="C8" s="109" t="s">
        <v>1094</v>
      </c>
      <c r="D8" s="5" t="s">
        <v>275</v>
      </c>
      <c r="E8" s="5" t="str">
        <f>VLOOKUP(51,Lang!$A$6:$K$1006,Lang!$M$1+1,FALSE)</f>
        <v>Spotřeba uhlí (hnědé, černé) v rámci administrativního území obce/čtvrti</v>
      </c>
      <c r="F8" s="147" t="s">
        <v>1097</v>
      </c>
      <c r="G8" s="147"/>
    </row>
    <row r="9" spans="1:7" ht="30" x14ac:dyDescent="0.25">
      <c r="A9" s="110" t="s">
        <v>1094</v>
      </c>
      <c r="B9" s="110" t="s">
        <v>1094</v>
      </c>
      <c r="C9" s="110" t="s">
        <v>1094</v>
      </c>
      <c r="D9" s="5" t="s">
        <v>276</v>
      </c>
      <c r="E9" s="5" t="str">
        <f>VLOOKUP(52,Lang!$A$6:$K$1006,Lang!$M$1+1,FALSE)</f>
        <v>Spotřeba dalších fosilních paliv (propan-butan, topný olej, další) v rámci administrativního území města/městské části/obce</v>
      </c>
      <c r="F9" s="147" t="s">
        <v>1093</v>
      </c>
      <c r="G9" s="147"/>
    </row>
    <row r="10" spans="1:7" x14ac:dyDescent="0.25">
      <c r="A10" s="110" t="s">
        <v>1094</v>
      </c>
      <c r="B10" s="110" t="s">
        <v>1094</v>
      </c>
      <c r="C10" s="110" t="s">
        <v>1094</v>
      </c>
      <c r="D10" s="5" t="s">
        <v>277</v>
      </c>
      <c r="E10" s="5" t="str">
        <f>VLOOKUP(53,Lang!$A$6:$K$1006,Lang!$M$1+1,FALSE)</f>
        <v>Dopravní výkon v kolejové dopravě</v>
      </c>
      <c r="F10" s="3" t="str">
        <f>VLOOKUP(354,Lang!$A$6:$K$1006,Lang!$M$1+1,FALSE)</f>
        <v>oskm</v>
      </c>
      <c r="G10" s="147"/>
    </row>
    <row r="11" spans="1:7" x14ac:dyDescent="0.25">
      <c r="A11" s="110" t="s">
        <v>1094</v>
      </c>
      <c r="B11" s="110" t="s">
        <v>1094</v>
      </c>
      <c r="C11" s="110" t="s">
        <v>1094</v>
      </c>
      <c r="D11" s="5" t="s">
        <v>278</v>
      </c>
      <c r="E11" s="5" t="str">
        <f>VLOOKUP(54,Lang!$A$6:$K$1006,Lang!$M$1+1,FALSE)</f>
        <v>Dopravní výkon v osobní, autobusové a trolejbusové dopravě</v>
      </c>
      <c r="F11" s="3" t="str">
        <f>VLOOKUP(354,Lang!$A$6:$K$1006,Lang!$M$1+1,FALSE)</f>
        <v>oskm</v>
      </c>
      <c r="G11" s="147"/>
    </row>
    <row r="12" spans="1:7" x14ac:dyDescent="0.25">
      <c r="A12" s="110" t="s">
        <v>1094</v>
      </c>
      <c r="B12" s="110" t="s">
        <v>1094</v>
      </c>
      <c r="C12" s="110" t="s">
        <v>1094</v>
      </c>
      <c r="D12" s="5" t="s">
        <v>279</v>
      </c>
      <c r="E12" s="5" t="str">
        <f>VLOOKUP(55,Lang!$A$6:$K$1006,Lang!$M$1+1,FALSE)</f>
        <v>Dopravní výkon v letecké dopravě</v>
      </c>
      <c r="F12" s="3" t="str">
        <f>VLOOKUP(354,Lang!$A$6:$K$1006,Lang!$M$1+1,FALSE)</f>
        <v>oskm</v>
      </c>
      <c r="G12" s="147"/>
    </row>
    <row r="13" spans="1:7" x14ac:dyDescent="0.25">
      <c r="A13" s="110" t="s">
        <v>1094</v>
      </c>
      <c r="B13" s="110" t="s">
        <v>1094</v>
      </c>
      <c r="C13" s="110" t="s">
        <v>1094</v>
      </c>
      <c r="D13" s="5" t="s">
        <v>280</v>
      </c>
      <c r="E13" s="5" t="str">
        <f>VLOOKUP(56,Lang!$A$6:$K$1006,Lang!$M$1+1,FALSE)</f>
        <v>Množství směsného komunálního odpadu zneškodněného skládkováním</v>
      </c>
      <c r="F13" s="147" t="s">
        <v>1097</v>
      </c>
      <c r="G13" s="147"/>
    </row>
    <row r="14" spans="1:7" x14ac:dyDescent="0.25">
      <c r="A14" s="110" t="s">
        <v>1094</v>
      </c>
      <c r="B14" s="110" t="s">
        <v>1094</v>
      </c>
      <c r="C14" s="110" t="s">
        <v>1094</v>
      </c>
      <c r="D14" s="5" t="s">
        <v>281</v>
      </c>
      <c r="E14" s="5" t="str">
        <f>VLOOKUP(57,Lang!$A$6:$K$1006,Lang!$M$1+1,FALSE)</f>
        <v>Množství směsného komunálního odpadu zneškodněného spalováním</v>
      </c>
      <c r="F14" s="147" t="s">
        <v>1097</v>
      </c>
      <c r="G14" s="147"/>
    </row>
    <row r="15" spans="1:7" x14ac:dyDescent="0.25">
      <c r="A15" s="110" t="s">
        <v>1094</v>
      </c>
      <c r="B15" s="110" t="s">
        <v>1094</v>
      </c>
      <c r="C15" s="110" t="s">
        <v>1094</v>
      </c>
      <c r="D15" s="5" t="s">
        <v>282</v>
      </c>
      <c r="E15" s="5" t="str">
        <f>VLOOKUP(58,Lang!$A$6:$K$1006,Lang!$M$1+1,FALSE)</f>
        <v>Celková produkce nebezpečného odpadu</v>
      </c>
      <c r="F15" s="147" t="s">
        <v>1097</v>
      </c>
      <c r="G15" s="147"/>
    </row>
    <row r="16" spans="1:7" x14ac:dyDescent="0.25">
      <c r="A16" s="110" t="s">
        <v>1094</v>
      </c>
      <c r="B16" s="110" t="s">
        <v>1094</v>
      </c>
      <c r="C16" s="110" t="s">
        <v>1094</v>
      </c>
      <c r="D16" s="5" t="s">
        <v>283</v>
      </c>
      <c r="E16" s="5" t="str">
        <f>VLOOKUP(59,Lang!$A$6:$K$1006,Lang!$M$1+1,FALSE)</f>
        <v>Produkce odpadní vody</v>
      </c>
      <c r="F16" s="3" t="s">
        <v>1098</v>
      </c>
      <c r="G16" s="147"/>
    </row>
    <row r="17" spans="1:7" x14ac:dyDescent="0.25">
      <c r="A17" s="110" t="s">
        <v>1094</v>
      </c>
      <c r="B17" s="110" t="s">
        <v>1094</v>
      </c>
      <c r="C17" s="110" t="s">
        <v>1094</v>
      </c>
      <c r="D17" s="5" t="s">
        <v>284</v>
      </c>
      <c r="E17" s="5" t="str">
        <f>VLOOKUP(60,Lang!$A$6:$K$1006,Lang!$M$1+1,FALSE)</f>
        <v>Množství biologicky rozložitelného komunálního odpadu (BRKO)</v>
      </c>
      <c r="F17" s="147" t="s">
        <v>1097</v>
      </c>
      <c r="G17" s="147"/>
    </row>
  </sheetData>
  <sheetProtection sheet="1" objects="1" scenarios="1"/>
  <dataValidations count="3">
    <dataValidation type="list" allowBlank="1" showInputMessage="1" showErrorMessage="1" sqref="F4:F6 F9">
      <formula1>"MWh,kWh"</formula1>
    </dataValidation>
    <dataValidation type="list" allowBlank="1" showInputMessage="1" showErrorMessage="1" sqref="F8">
      <formula1>"t,MWh,kWh"</formula1>
    </dataValidation>
    <dataValidation type="list" allowBlank="1" showInputMessage="1" showErrorMessage="1" sqref="F13:F15 F17">
      <formula1>"t,kg"</formula1>
    </dataValidation>
  </dataValidations>
  <hyperlinks>
    <hyperlink ref="A7" r:id="rId1"/>
    <hyperlink ref="B7" r:id="rId2"/>
    <hyperlink ref="C7" r:id="rId3"/>
    <hyperlink ref="A4" r:id="rId4"/>
    <hyperlink ref="B4" r:id="rId5"/>
    <hyperlink ref="C4" r:id="rId6"/>
    <hyperlink ref="A5" r:id="rId7"/>
    <hyperlink ref="B5" r:id="rId8"/>
    <hyperlink ref="C5" r:id="rId9"/>
    <hyperlink ref="A6" r:id="rId10"/>
    <hyperlink ref="B6" r:id="rId11"/>
    <hyperlink ref="C6" r:id="rId12"/>
    <hyperlink ref="A8" r:id="rId13"/>
    <hyperlink ref="B8" r:id="rId14"/>
    <hyperlink ref="C8" r:id="rId15"/>
    <hyperlink ref="A9" r:id="rId16"/>
    <hyperlink ref="B9" r:id="rId17"/>
    <hyperlink ref="C9" r:id="rId18"/>
    <hyperlink ref="A10" r:id="rId19"/>
    <hyperlink ref="B10" r:id="rId20"/>
    <hyperlink ref="C10" r:id="rId21"/>
    <hyperlink ref="A11" r:id="rId22"/>
    <hyperlink ref="B11" r:id="rId23"/>
    <hyperlink ref="C11" r:id="rId24"/>
    <hyperlink ref="A12" r:id="rId25"/>
    <hyperlink ref="B12" r:id="rId26"/>
    <hyperlink ref="C12" r:id="rId27"/>
    <hyperlink ref="A13" r:id="rId28"/>
    <hyperlink ref="B13" r:id="rId29"/>
    <hyperlink ref="C13" r:id="rId30"/>
    <hyperlink ref="A14" r:id="rId31"/>
    <hyperlink ref="B14" r:id="rId32"/>
    <hyperlink ref="C14" r:id="rId33"/>
    <hyperlink ref="A15" r:id="rId34"/>
    <hyperlink ref="B15" r:id="rId35"/>
    <hyperlink ref="C15" r:id="rId36"/>
    <hyperlink ref="A16" r:id="rId37"/>
    <hyperlink ref="B16" r:id="rId38"/>
    <hyperlink ref="C16" r:id="rId39"/>
    <hyperlink ref="A17" r:id="rId40"/>
    <hyperlink ref="B17" r:id="rId41"/>
    <hyperlink ref="C17" r:id="rId42"/>
  </hyperlinks>
  <pageMargins left="0.7" right="0.7" top="0.78740157499999996" bottom="0.78740157499999996" header="0.3" footer="0.3"/>
  <pageSetup paperSize="9" orientation="portrait" horizontalDpi="300" verticalDpi="300" r:id="rId43"/>
  <drawing r:id="rId4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0"/>
  <sheetViews>
    <sheetView showGridLines="0" workbookViewId="0">
      <selection sqref="A1:B1"/>
    </sheetView>
  </sheetViews>
  <sheetFormatPr defaultRowHeight="15" x14ac:dyDescent="0.25"/>
  <cols>
    <col min="1" max="1" width="72.85546875" style="1" customWidth="1"/>
    <col min="2" max="2" width="19.42578125" customWidth="1"/>
    <col min="3" max="3" width="17.85546875" customWidth="1"/>
    <col min="4" max="4" width="56.42578125" hidden="1" customWidth="1"/>
    <col min="5" max="5" width="9.140625" hidden="1" customWidth="1"/>
    <col min="6" max="6" width="18.28515625" hidden="1" customWidth="1"/>
    <col min="7" max="7" width="9.140625" hidden="1" customWidth="1"/>
  </cols>
  <sheetData>
    <row r="1" spans="1:7" ht="65.099999999999994" customHeight="1" x14ac:dyDescent="0.25">
      <c r="A1" s="122" t="str">
        <f>CONCATENATE("M-GOV1 – ",VLOOKUP(61,Lang!$A$6:$K$1006,Lang!$M$1+1,FALSE))</f>
        <v>M-GOV1 – Strategicko-institucionální situace města v oblasti adaptace na dopady změny klimatu</v>
      </c>
      <c r="B1" s="122"/>
    </row>
    <row r="2" spans="1:7" ht="28.5" customHeight="1" x14ac:dyDescent="0.25">
      <c r="A2" s="88" t="str">
        <f>VLOOKUP(130,Lang!$A$6:$K$1006,Lang!$M$1+1,FALSE)</f>
        <v>Metodický list indikátoru</v>
      </c>
    </row>
    <row r="4" spans="1:7" x14ac:dyDescent="0.25">
      <c r="A4" s="106" t="str">
        <f>VLOOKUP(150,Lang!$A$6:$K$1006,Lang!$M$1+1,FALSE)</f>
        <v>Míra připravenosti</v>
      </c>
      <c r="B4" s="145"/>
    </row>
    <row r="5" spans="1:7" x14ac:dyDescent="0.25">
      <c r="B5" s="136"/>
    </row>
    <row r="6" spans="1:7" x14ac:dyDescent="0.25">
      <c r="B6" s="136"/>
      <c r="D6" s="115"/>
      <c r="E6" s="116"/>
      <c r="F6" s="116"/>
      <c r="G6" s="116"/>
    </row>
    <row r="7" spans="1:7" ht="45.75" customHeight="1" x14ac:dyDescent="0.25">
      <c r="A7" s="114" t="str">
        <f>VLOOKUP(357,Lang!$A$6:$K$1006,Lang!$M$1+1,FALSE)</f>
        <v xml:space="preserve">Existence adaptačního plánu/strategie (klimatologické posouzení, hodnocení zranitelnosti, stanovení cílů, stanovení aktivit, akční plán, schválení vedením samosprávy)
</v>
      </c>
      <c r="B7" s="146"/>
      <c r="D7" s="116">
        <f>IF(VLOOKUP(157,Lang!$A$6:$K$1006,Lang!$M$1+1,FALSE)=B7,0.2,0)</f>
        <v>0</v>
      </c>
      <c r="E7" s="116"/>
      <c r="F7" s="116"/>
      <c r="G7" s="116"/>
    </row>
    <row r="8" spans="1:7" x14ac:dyDescent="0.25">
      <c r="A8" s="114" t="str">
        <f>VLOOKUP(358,Lang!$A$6:$K$1006,Lang!$M$1+1,FALSE)</f>
        <v>Promítnutí adaptační strategie/ akčního plánu do strategického plánu/PHSR</v>
      </c>
      <c r="B8" s="146"/>
      <c r="D8" s="116">
        <f>IF(VLOOKUP(157,Lang!$A$6:$K$1006,Lang!$M$1+1,FALSE)=B8,0.2,0)</f>
        <v>0</v>
      </c>
      <c r="E8" s="116"/>
      <c r="F8" s="116"/>
      <c r="G8" s="116"/>
    </row>
    <row r="9" spans="1:7" ht="45" x14ac:dyDescent="0.25">
      <c r="A9" s="114" t="str">
        <f>VLOOKUP(359,Lang!$A$6:$K$1006,Lang!$M$1+1,FALSE)</f>
        <v xml:space="preserve">Promítnutí adaptací do organizační struktury samosprávy (pozice pro koordinaci/implementaci)
</v>
      </c>
      <c r="B9" s="146"/>
      <c r="D9" s="116">
        <f>IF(VLOOKUP(157,Lang!$A$6:$K$1006,Lang!$M$1+1,FALSE)=B9,0.2,0)</f>
        <v>0</v>
      </c>
      <c r="E9" s="116"/>
      <c r="F9" s="116"/>
      <c r="G9" s="116"/>
    </row>
    <row r="10" spans="1:7" ht="60" x14ac:dyDescent="0.25">
      <c r="A10" s="114" t="str">
        <f>VLOOKUP(360,Lang!$A$6:$K$1006,Lang!$M$1+1,FALSE)</f>
        <v xml:space="preserve">Odborná kapacita (odborná pracovní skupina, dohody s externími odborníky, memoranda a dohody s odbornými institucemi, prokazatelná spolupráce s odborníky) pro adaptaci
</v>
      </c>
      <c r="B10" s="146"/>
      <c r="D10" s="116">
        <f>IF(VLOOKUP(157,Lang!$A$6:$K$1006,Lang!$M$1+1,FALSE)=B10,0.2,0)</f>
        <v>0</v>
      </c>
      <c r="E10" s="116"/>
      <c r="F10" s="116"/>
      <c r="G10" s="116"/>
    </row>
    <row r="11" spans="1:7" ht="30" x14ac:dyDescent="0.25">
      <c r="A11" s="114" t="str">
        <f>VLOOKUP(361,Lang!$A$6:$K$1006,Lang!$M$1+1,FALSE)</f>
        <v>Systematický sběr dat (vliv/stav/odezva) a jejich aktualizace - relevance pro adaptace/hodnocení zranitelnosti.</v>
      </c>
      <c r="B11" s="146"/>
      <c r="D11" s="116">
        <f>IF(VLOOKUP(157,Lang!$A$6:$K$1006,Lang!$M$1+1,FALSE)=B11,0.2,0)</f>
        <v>0</v>
      </c>
      <c r="E11" s="116"/>
      <c r="F11" s="116"/>
      <c r="G11" s="116"/>
    </row>
    <row r="12" spans="1:7" x14ac:dyDescent="0.25">
      <c r="A12" s="113"/>
      <c r="D12" s="116">
        <f>SUM(D7:D11)</f>
        <v>0</v>
      </c>
      <c r="E12" s="116"/>
      <c r="F12" s="116"/>
      <c r="G12" s="116"/>
    </row>
    <row r="13" spans="1:7" x14ac:dyDescent="0.25">
      <c r="A13" s="113"/>
      <c r="D13" s="116"/>
      <c r="E13" s="116"/>
      <c r="F13" s="116"/>
      <c r="G13" s="116"/>
    </row>
    <row r="14" spans="1:7" x14ac:dyDescent="0.25">
      <c r="A14" s="113"/>
      <c r="D14" s="116"/>
      <c r="E14" s="116"/>
      <c r="F14" s="116"/>
      <c r="G14" s="116"/>
    </row>
    <row r="15" spans="1:7" x14ac:dyDescent="0.25">
      <c r="A15" s="113"/>
      <c r="D15" s="116"/>
      <c r="E15" s="116"/>
      <c r="F15" s="116"/>
      <c r="G15" s="116"/>
    </row>
    <row r="16" spans="1:7" ht="15.75" thickBot="1" x14ac:dyDescent="0.3">
      <c r="D16" s="117"/>
      <c r="E16" s="116"/>
      <c r="F16" s="116"/>
      <c r="G16" s="116"/>
    </row>
    <row r="17" spans="1:7" ht="15.75" thickBot="1" x14ac:dyDescent="0.3">
      <c r="A17" s="21" t="str">
        <f>IF(B17="N/A",VLOOKUP(146,Lang!$A$6:$K$1006,Lang!$M$1+1,FALSE),VLOOKUP(180,Lang!$A$6:$K$1006,Lang!$M$1+1,FALSE))</f>
        <v>Vypočtený podíl (můžete přepsat do buňky B4)</v>
      </c>
      <c r="B17" s="119">
        <f>+D12</f>
        <v>0</v>
      </c>
      <c r="D17" s="117"/>
      <c r="E17" s="118"/>
      <c r="F17" s="118"/>
      <c r="G17" s="116"/>
    </row>
    <row r="18" spans="1:7" x14ac:dyDescent="0.25">
      <c r="D18" s="112"/>
    </row>
    <row r="19" spans="1:7" x14ac:dyDescent="0.25">
      <c r="D19" s="112"/>
    </row>
    <row r="20" spans="1:7" x14ac:dyDescent="0.25">
      <c r="D20" s="112"/>
    </row>
  </sheetData>
  <sheetProtection sheet="1" objects="1" scenarios="1"/>
  <mergeCells count="1">
    <mergeCell ref="A1:B1"/>
  </mergeCells>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INDIRECT(CONCATENATE("anone",Lang!$M$1))</xm:f>
          </x14:formula1>
          <xm:sqref>B7:B11</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2"/>
  <sheetViews>
    <sheetView showGridLines="0" zoomScale="115" zoomScaleNormal="115" workbookViewId="0">
      <selection activeCell="A19" sqref="A19"/>
    </sheetView>
  </sheetViews>
  <sheetFormatPr defaultRowHeight="15" x14ac:dyDescent="0.25"/>
  <cols>
    <col min="1" max="1" width="142.85546875" style="1" customWidth="1"/>
    <col min="2" max="2" width="18.85546875" customWidth="1"/>
    <col min="3" max="3" width="17.85546875" customWidth="1"/>
    <col min="4" max="4" width="13.28515625" customWidth="1"/>
    <col min="5" max="5" width="9.140625" customWidth="1"/>
    <col min="6" max="6" width="18.5703125" hidden="1" customWidth="1"/>
  </cols>
  <sheetData>
    <row r="1" spans="1:3" ht="36.75" customHeight="1" x14ac:dyDescent="0.25">
      <c r="A1" s="122" t="str">
        <f>CONCATENATE("M-GOV2 – ",VLOOKUP(62,Lang!$A$6:$K$1006,Lang!$M$1+1,FALSE))</f>
        <v>M-GOV2 – Prostředky vynaložené na realizaci adaptačních opatření</v>
      </c>
      <c r="B1" s="122"/>
    </row>
    <row r="2" spans="1:3" ht="28.5" customHeight="1" x14ac:dyDescent="0.25">
      <c r="A2" s="88" t="str">
        <f>VLOOKUP(130,Lang!$A$6:$K$1006,Lang!$M$1+1,FALSE)</f>
        <v>Metodický list indikátoru</v>
      </c>
    </row>
    <row r="4" spans="1:3" x14ac:dyDescent="0.25">
      <c r="A4" s="6" t="str">
        <f>VLOOKUP(176,Lang!$A$6:$K$1006,Lang!$M$1+1,FALSE)</f>
        <v>Podíl prostředků na celkových výdajích města</v>
      </c>
      <c r="B4" s="128"/>
    </row>
    <row r="6" spans="1:3" x14ac:dyDescent="0.25">
      <c r="A6" s="13" t="str">
        <f>VLOOKUP(400,Lang!$A$6:$K$1006,Lang!$M$1+1,FALSE)</f>
        <v>Pomůcka - pomocný výpočet</v>
      </c>
    </row>
    <row r="7" spans="1:3" s="49" customFormat="1" x14ac:dyDescent="0.25">
      <c r="A7" s="47" t="str">
        <f>VLOOKUP(177,Lang!$A$6:$K$1006,Lang!$M$1+1,FALSE)</f>
        <v>Do žlutého pole zadejte celkové výdaje na realizaci adaptačních opatření</v>
      </c>
    </row>
    <row r="8" spans="1:3" x14ac:dyDescent="0.25">
      <c r="A8" s="1" t="str">
        <f>VLOOKUP(178,Lang!$A$6:$K$1006,Lang!$M$1+1,FALSE)</f>
        <v>Výdaje na realizaci adaptačních opatření</v>
      </c>
      <c r="B8" s="141"/>
      <c r="C8" s="92" t="str">
        <f>+'M-POP14'!C4</f>
        <v>€</v>
      </c>
    </row>
    <row r="9" spans="1:3" ht="15.75" thickBot="1" x14ac:dyDescent="0.3">
      <c r="A9" s="94" t="str">
        <f>IF('M-POP14'!B4="",VLOOKUP(181,Lang!$A$6:$K$1006,Lang!$M$1+1,FALSE),VLOOKUP(179,Lang!$A$6:$K$1006,Lang!$M$1+1,FALSE))</f>
        <v>Zadejte nejprve hodnotu POP14</v>
      </c>
      <c r="B9" s="102" t="str">
        <f>IF('M-POP14'!B4="","N/A",CONCATENATE('M-POP14'!B4*'M-POP1'!B4,," ",'M-POP14'!C4))</f>
        <v>N/A</v>
      </c>
    </row>
    <row r="10" spans="1:3" ht="15.75" thickBot="1" x14ac:dyDescent="0.3">
      <c r="A10" s="21" t="str">
        <f>IF(B10="N/A",VLOOKUP(146,Lang!$A$6:$K$1006,Lang!$M$1+1,FALSE),VLOOKUP(180,Lang!$A$6:$K$1006,Lang!$M$1+1,FALSE))</f>
        <v>Výpočet nemůže proběhnout</v>
      </c>
      <c r="B10" s="103" t="str">
        <f>IF('M-POP1'!B4=0,"N/A",IF('M-POP14'!B4="","N/A",+B8/B9))</f>
        <v>N/A</v>
      </c>
    </row>
    <row r="12" spans="1:3" x14ac:dyDescent="0.25">
      <c r="A12" s="104" t="str">
        <f>IF('M-POP1'!B4=0,VLOOKUP(182,Lang!$A$6:$K$1006,Lang!$M$1+1,FALSE),"")</f>
        <v>Počet obyvatel (M-POP1) není pravděpodobně zadán.</v>
      </c>
    </row>
  </sheetData>
  <sheetProtection sheet="1" objects="1" scenarios="1"/>
  <mergeCells count="1">
    <mergeCell ref="A1:B1"/>
  </mergeCells>
  <dataValidations count="2">
    <dataValidation type="decimal" allowBlank="1" showInputMessage="1" showErrorMessage="1" errorTitle="Chybná hodnota" error="Povolenou hodnotou je procento v intervalu 0%;100%" sqref="B4">
      <formula1>0</formula1>
      <formula2>1</formula2>
    </dataValidation>
    <dataValidation type="decimal" allowBlank="1" showInputMessage="1" showErrorMessage="1" errorTitle="Chybný vstup" error="Výdaje na adaptační opatření nemohou být větší než celkový rozpočet města." sqref="B8">
      <formula1>0</formula1>
      <formula2>B9</formula2>
    </dataValidation>
  </dataValidations>
  <hyperlinks>
    <hyperlink ref="A9" location="'M-POP14'!B4" display="'M-POP14'!B4"/>
    <hyperlink ref="A12" location="'M-POP1'!B4" display="'M-POP1'!B4"/>
  </hyperlinks>
  <pageMargins left="0.7" right="0.7" top="0.78740157499999996" bottom="0.78740157499999996"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9"/>
  <sheetViews>
    <sheetView showGridLines="0" workbookViewId="0">
      <selection activeCell="B22" sqref="B22"/>
    </sheetView>
  </sheetViews>
  <sheetFormatPr defaultRowHeight="15" x14ac:dyDescent="0.25"/>
  <cols>
    <col min="1" max="1" width="113.28515625" style="1" customWidth="1"/>
    <col min="2" max="2" width="18.85546875" customWidth="1"/>
    <col min="3" max="3" width="17.85546875" customWidth="1"/>
    <col min="4" max="4" width="13.28515625" customWidth="1"/>
    <col min="5" max="5" width="8.7109375" style="53"/>
    <col min="6" max="6" width="8.7109375" style="55" customWidth="1"/>
    <col min="7" max="7" width="8.7109375" style="57" customWidth="1"/>
    <col min="8" max="8" width="1.85546875" style="57" customWidth="1"/>
    <col min="9" max="9" width="8.7109375" style="55" customWidth="1"/>
    <col min="10" max="10" width="8.7109375" style="53"/>
  </cols>
  <sheetData>
    <row r="1" spans="1:10" ht="65.099999999999994" customHeight="1" x14ac:dyDescent="0.25">
      <c r="A1" s="122" t="str">
        <f>CONCATENATE("M-GOV3 – ",VLOOKUP(63,Lang!$A$6:$K$1006,Lang!$M$1+1,FALSE))</f>
        <v>M-GOV3 – Existence nízkouhlíkové strategie/politiky/akčního plánu</v>
      </c>
      <c r="B1" s="122"/>
    </row>
    <row r="2" spans="1:10" ht="28.5" customHeight="1" x14ac:dyDescent="0.25">
      <c r="A2" s="88" t="str">
        <f>VLOOKUP(130,Lang!$A$6:$K$1006,Lang!$M$1+1,FALSE)</f>
        <v>Metodický list indikátoru</v>
      </c>
      <c r="G2" s="57" t="s">
        <v>535</v>
      </c>
    </row>
    <row r="4" spans="1:10" x14ac:dyDescent="0.25">
      <c r="A4" s="6" t="str">
        <f>VLOOKUP(151,Lang!$A$6:$K$1006,Lang!$M$1+1,FALSE)</f>
        <v xml:space="preserve">Bodová hodnota / % </v>
      </c>
      <c r="B4" s="24" t="str">
        <f>CONCATENATE(COUNTIF(B6:B10,VLOOKUP(157,Lang!$A$6:$K$1006,Lang!$M$1+1,FALSE))," / ",COUNTIF(B6:B10,VLOOKUP(157,Lang!$A$6:$K$1006,Lang!$M$1+1,FALSE))/5*100," %")</f>
        <v>0 / 0 %</v>
      </c>
      <c r="G4" s="57" t="s">
        <v>20</v>
      </c>
      <c r="H4" s="57" t="s">
        <v>21</v>
      </c>
    </row>
    <row r="5" spans="1:10" x14ac:dyDescent="0.25">
      <c r="B5" s="1"/>
      <c r="G5" s="57" t="s">
        <v>21</v>
      </c>
    </row>
    <row r="6" spans="1:10" s="2" customFormat="1" x14ac:dyDescent="0.25">
      <c r="A6" s="23" t="str">
        <f>VLOOKUP(152,Lang!$A$6:$K$1006,Lang!$M$1+1,FALSE)</f>
        <v>Existuje nízkouhlíkový plán/strategie?</v>
      </c>
      <c r="B6" s="143"/>
      <c r="E6" s="99"/>
      <c r="F6" s="100"/>
      <c r="G6" s="101"/>
      <c r="H6" s="101"/>
      <c r="I6" s="100"/>
      <c r="J6" s="99"/>
    </row>
    <row r="7" spans="1:10" s="49" customFormat="1" x14ac:dyDescent="0.25">
      <c r="A7" s="5" t="str">
        <f>VLOOKUP(153,Lang!$A$6:$K$1006,Lang!$M$1+1,FALSE)</f>
        <v>Je nízkouhlíkový plán promítnut do strategického plánu/PHSR?</v>
      </c>
      <c r="B7" s="143"/>
      <c r="E7" s="54"/>
      <c r="F7" s="56"/>
      <c r="G7" s="58"/>
      <c r="H7" s="58"/>
      <c r="I7" s="56"/>
      <c r="J7" s="54"/>
    </row>
    <row r="8" spans="1:10" s="2" customFormat="1" x14ac:dyDescent="0.25">
      <c r="A8" s="5" t="str">
        <f>VLOOKUP(154,Lang!$A$6:$K$1006,Lang!$M$1+1,FALSE)</f>
        <v>Jsou mitigace promítnuty do organizační struktury samosprávy (pozice pro koordinaci/implementaci)?</v>
      </c>
      <c r="B8" s="143"/>
      <c r="E8" s="99"/>
      <c r="F8" s="100"/>
      <c r="G8" s="101"/>
      <c r="H8" s="101"/>
      <c r="I8" s="100"/>
      <c r="J8" s="99"/>
    </row>
    <row r="9" spans="1:10" s="49" customFormat="1" ht="30" x14ac:dyDescent="0.25">
      <c r="A9" s="5" t="str">
        <f>VLOOKUP(155,Lang!$A$6:$K$1006,Lang!$M$1+1,FALSE)</f>
        <v>Existuje odborná kapacita (odborná pracovní skupina, dohody s externími odborníky, memoranda a dohody s odbornými institucemi, prokazatelná spolupráce s odborníky) pro mitigace?</v>
      </c>
      <c r="B9" s="143"/>
      <c r="E9" s="54"/>
      <c r="F9" s="56"/>
      <c r="G9" s="58"/>
      <c r="H9" s="58"/>
      <c r="I9" s="56"/>
      <c r="J9" s="54"/>
    </row>
    <row r="10" spans="1:10" s="49" customFormat="1" x14ac:dyDescent="0.25">
      <c r="A10" s="5" t="str">
        <f>VLOOKUP(156,Lang!$A$6:$K$1006,Lang!$M$1+1,FALSE)</f>
        <v>Probíhá systematický sběr dat (vliv/stav/odezva) a jejich aktualizace - relevance pro snižování emisí?</v>
      </c>
      <c r="B10" s="143"/>
      <c r="E10" s="54"/>
      <c r="F10" s="56"/>
      <c r="G10" s="58"/>
      <c r="H10" s="58"/>
      <c r="I10" s="56"/>
      <c r="J10" s="54"/>
    </row>
    <row r="13" spans="1:10" x14ac:dyDescent="0.25">
      <c r="A13" s="25" t="str">
        <f>IF(COUNTBLANK(B6:B10)&gt;0,VLOOKUP(159,Lang!$A$6:$K$1006,Lang!$M$1+1),"")</f>
        <v>Nejsou zodpovězeny všechny otázky!</v>
      </c>
    </row>
    <row r="19" spans="1:1" x14ac:dyDescent="0.25">
      <c r="A19" s="2"/>
    </row>
  </sheetData>
  <sheetProtection sheet="1" objects="1" scenarios="1"/>
  <mergeCells count="1">
    <mergeCell ref="A1:B1"/>
  </mergeCells>
  <pageMargins left="0.7" right="0.7" top="0.78740157499999996" bottom="0.78740157499999996"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Chybná hodnota" error="Možné hodnoty vyberte z nabízeného seznamu.">
          <x14:formula1>
            <xm:f>INDIRECT(CONCATENATE("ANONE",Lang!$M$1))</xm:f>
          </x14:formula1>
          <xm:sqref>B6:B10</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12"/>
  <sheetViews>
    <sheetView showGridLines="0" workbookViewId="0">
      <selection activeCell="B25" sqref="B25"/>
    </sheetView>
  </sheetViews>
  <sheetFormatPr defaultRowHeight="15" x14ac:dyDescent="0.25"/>
  <cols>
    <col min="1" max="1" width="133.140625" style="1" customWidth="1"/>
    <col min="2" max="2" width="18.85546875" customWidth="1"/>
    <col min="3" max="3" width="17.85546875" customWidth="1"/>
    <col min="4" max="4" width="13.28515625" customWidth="1"/>
  </cols>
  <sheetData>
    <row r="1" spans="1:3" ht="65.099999999999994" customHeight="1" x14ac:dyDescent="0.25">
      <c r="A1" s="122" t="str">
        <f>CONCATENATE("M-GOV4 – ",VLOOKUP(64,Lang!$A$6:$K$1006,Lang!$M$1+1,FALSE))</f>
        <v>M-GOV4 – Finanční prostředky na realizaci mitigačných opatření z celkového rozpočtu města</v>
      </c>
      <c r="B1" s="122"/>
    </row>
    <row r="2" spans="1:3" ht="28.5" customHeight="1" x14ac:dyDescent="0.25">
      <c r="A2" s="88" t="str">
        <f>VLOOKUP(130,Lang!$A$6:$K$1006,Lang!$M$1+1,FALSE)</f>
        <v>Metodický list indikátoru</v>
      </c>
    </row>
    <row r="4" spans="1:3" x14ac:dyDescent="0.25">
      <c r="A4" s="6" t="str">
        <f>VLOOKUP(183,Lang!$A$6:$K$1006,Lang!$M$1+1,FALSE)</f>
        <v>Podíl prostředků na mitigační opatření</v>
      </c>
      <c r="B4" s="128"/>
    </row>
    <row r="5" spans="1:3" x14ac:dyDescent="0.25">
      <c r="B5" s="136"/>
    </row>
    <row r="6" spans="1:3" x14ac:dyDescent="0.25">
      <c r="A6" s="13" t="str">
        <f>VLOOKUP(400,Lang!$A$6:$K$1006,Lang!$M$1+1,FALSE)</f>
        <v>Pomůcka - pomocný výpočet</v>
      </c>
      <c r="B6" s="136"/>
    </row>
    <row r="7" spans="1:3" s="49" customFormat="1" x14ac:dyDescent="0.25">
      <c r="A7" s="47" t="str">
        <f>VLOOKUP(184,Lang!$A$6:$K$1006,Lang!$M$1+1,FALSE)</f>
        <v>Do žlutého pole zadejte celkové výdaje na realizaci mitigačních opatření</v>
      </c>
      <c r="B7" s="138"/>
    </row>
    <row r="8" spans="1:3" x14ac:dyDescent="0.25">
      <c r="A8" s="1" t="str">
        <f>VLOOKUP(185,Lang!$A$6:$K$1006,Lang!$M$1+1,FALSE)</f>
        <v>Výdaje na realizaci mitigačních opatření</v>
      </c>
      <c r="B8" s="141"/>
      <c r="C8" s="92" t="str">
        <f>+'M-POP14'!C4</f>
        <v>€</v>
      </c>
    </row>
    <row r="9" spans="1:3" ht="15.75" thickBot="1" x14ac:dyDescent="0.3">
      <c r="A9" s="94" t="str">
        <f>IF('M-POP14'!B4="",VLOOKUP(181,Lang!$A$6:$K$1006,Lang!$M$1+1,FALSE),VLOOKUP(179,Lang!$A$6:$K$1006,Lang!$M$1+1,FALSE))</f>
        <v>Zadejte nejprve hodnotu POP14</v>
      </c>
      <c r="B9" s="102" t="str">
        <f>IF('M-POP14'!B4="","N/A",CONCATENATE('M-POP14'!B4*'M-POP1'!B4,," ",'M-POP14'!C4))</f>
        <v>N/A</v>
      </c>
    </row>
    <row r="10" spans="1:3" ht="15.75" thickBot="1" x14ac:dyDescent="0.3">
      <c r="A10" s="21" t="str">
        <f>IF(B10="N/A",VLOOKUP(146,Lang!$A$6:$K$1006,Lang!$M$1+1,FALSE),VLOOKUP(180,Lang!$A$6:$K$1006,Lang!$M$1+1,FALSE))</f>
        <v>Výpočet nemůže proběhnout</v>
      </c>
      <c r="B10" s="103" t="str">
        <f>IF('M-POP1'!B4=0,"N/A",IF('M-POP14'!B4="","N/A",+B8/B9))</f>
        <v>N/A</v>
      </c>
    </row>
    <row r="12" spans="1:3" x14ac:dyDescent="0.25">
      <c r="A12" s="104" t="str">
        <f>IF('M-POP1'!B4=0,VLOOKUP(182,Lang!$A$6:$K$1006,Lang!$M$1+1,FALSE),"")</f>
        <v>Počet obyvatel (M-POP1) není pravděpodobně zadán.</v>
      </c>
    </row>
  </sheetData>
  <sheetProtection sheet="1" objects="1" scenarios="1"/>
  <mergeCells count="1">
    <mergeCell ref="A1:B1"/>
  </mergeCells>
  <dataValidations count="2">
    <dataValidation type="decimal" allowBlank="1" showInputMessage="1" showErrorMessage="1" errorTitle="Chybná hodnota" error="Povolenou hodnotou je procento v intervalu 0%;100%" sqref="B4">
      <formula1>0</formula1>
      <formula2>1</formula2>
    </dataValidation>
    <dataValidation type="decimal" allowBlank="1" showInputMessage="1" showErrorMessage="1" errorTitle="Chybný vstup" error="Výdaje na mitigační opatření nemohou být větší než celkový rozpočet města." sqref="B8">
      <formula1>0</formula1>
      <formula2>B9</formula2>
    </dataValidation>
  </dataValidations>
  <hyperlinks>
    <hyperlink ref="A9" location="'M-POP14'!B4" display="'M-POP14'!B4"/>
    <hyperlink ref="A12" location="'M-POP1'!B4" display="'M-POP1'!B4"/>
  </hyperlinks>
  <pageMargins left="0.7" right="0.7" top="0.78740157499999996" bottom="0.78740157499999996"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9"/>
  <sheetViews>
    <sheetView showGridLines="0" workbookViewId="0">
      <selection activeCell="B9" sqref="B9"/>
    </sheetView>
  </sheetViews>
  <sheetFormatPr defaultRowHeight="15" x14ac:dyDescent="0.25"/>
  <cols>
    <col min="1" max="1" width="108" style="1" customWidth="1"/>
    <col min="2" max="2" width="32.140625" customWidth="1"/>
    <col min="3" max="3" width="17.85546875" customWidth="1"/>
    <col min="4" max="4" width="13.28515625" customWidth="1"/>
  </cols>
  <sheetData>
    <row r="1" spans="1:2" ht="65.099999999999994" customHeight="1" x14ac:dyDescent="0.25">
      <c r="A1" s="122" t="str">
        <f>CONCATENATE("M-GOV5 – ",VLOOKUP(65,Lang!$A$6:$K$1006,Lang!$M$1+1,FALSE))</f>
        <v>M-GOV5 – Podíl obytných budov v dané energetické třídě podle spotřeby tepla na vytápění</v>
      </c>
      <c r="B1" s="122"/>
    </row>
    <row r="2" spans="1:2" ht="28.5" customHeight="1" x14ac:dyDescent="0.25">
      <c r="A2" s="88" t="str">
        <f>VLOOKUP(130,Lang!$A$6:$K$1006,Lang!$M$1+1,FALSE)</f>
        <v>Metodický list indikátoru</v>
      </c>
      <c r="B2" s="27"/>
    </row>
    <row r="3" spans="1:2" x14ac:dyDescent="0.25">
      <c r="B3" s="27"/>
    </row>
    <row r="4" spans="1:2" x14ac:dyDescent="0.25">
      <c r="A4" s="6" t="str">
        <f>VLOOKUP(160,Lang!$A$6:$K$1006,Lang!$M$1+1,FALSE)</f>
        <v>Podíl budov v kategorii 0 a 1</v>
      </c>
      <c r="B4" s="128">
        <f>+B7+B8</f>
        <v>0</v>
      </c>
    </row>
    <row r="5" spans="1:2" x14ac:dyDescent="0.25">
      <c r="A5" s="12"/>
      <c r="B5" s="32"/>
    </row>
    <row r="6" spans="1:2" s="49" customFormat="1" ht="14.25" customHeight="1" x14ac:dyDescent="0.25">
      <c r="A6" s="47" t="str">
        <f>VLOOKUP(161,Lang!$A$6:$K$1006,Lang!$M$1+1,FALSE)</f>
        <v>Zapište podíl budov jednotlivých typů do žlutých polí</v>
      </c>
    </row>
    <row r="7" spans="1:2" s="49" customFormat="1" x14ac:dyDescent="0.25">
      <c r="A7" s="5" t="str">
        <f>VLOOKUP(162,Lang!$A$6:$K$1006,Lang!$M$1+1,FALSE)</f>
        <v>Podíl budov kategorie 0 (obnovená, do 50 kWh/m² ročně)</v>
      </c>
      <c r="B7" s="144"/>
    </row>
    <row r="8" spans="1:2" s="49" customFormat="1" x14ac:dyDescent="0.25">
      <c r="A8" s="5" t="str">
        <f>VLOOKUP(163,Lang!$A$6:$K$1006,Lang!$M$1+1,FALSE)</f>
        <v>Podíl budov kategorie 1 (částečně obnovená, 51-70 kWh/m² ročně)</v>
      </c>
      <c r="B8" s="144"/>
    </row>
    <row r="9" spans="1:2" s="49" customFormat="1" x14ac:dyDescent="0.25">
      <c r="A9" s="5" t="str">
        <f>VLOOKUP(164,Lang!$A$6:$K$1006,Lang!$M$1+1,FALSE)</f>
        <v>Podíl budov kategorie 2 (minimálně obnovená, 71-90 kWh/m² ročně)</v>
      </c>
      <c r="B9" s="144"/>
    </row>
    <row r="10" spans="1:2" s="49" customFormat="1" x14ac:dyDescent="0.25">
      <c r="A10" s="5" t="str">
        <f>VLOOKUP(165,Lang!$A$6:$K$1006,Lang!$M$1+1,FALSE)</f>
        <v>Podíl budov kategorie 3 (neobnovená, nad 90 kWh/m² ročně)</v>
      </c>
      <c r="B10" s="144"/>
    </row>
    <row r="11" spans="1:2" x14ac:dyDescent="0.25">
      <c r="A11" s="13" t="str">
        <f>VLOOKUP(166,Lang!$A$6:$K$1006,Lang!$M$1+1,FALSE)</f>
        <v>Celkem</v>
      </c>
      <c r="B11" s="26">
        <f>SUM(B7:B10)</f>
        <v>0</v>
      </c>
    </row>
    <row r="13" spans="1:2" x14ac:dyDescent="0.25">
      <c r="A13" s="25" t="str">
        <f>IF(B11&lt;&gt;1,VLOOKUP(167,Lang!$A$6:$K$1006,Lang!$M$1+1,FALSE),"")</f>
        <v>Součet jednotlivých podílů nedává 100 %</v>
      </c>
    </row>
    <row r="19" spans="1:1" x14ac:dyDescent="0.25">
      <c r="A19" s="2"/>
    </row>
  </sheetData>
  <sheetProtection sheet="1" objects="1" scenarios="1"/>
  <mergeCells count="1">
    <mergeCell ref="A1:B1"/>
  </mergeCells>
  <conditionalFormatting sqref="B17">
    <cfRule type="expression" dxfId="59" priority="7">
      <formula>$B$17=#REF!</formula>
    </cfRule>
    <cfRule type="expression" dxfId="58" priority="8">
      <formula>$B$17=#REF!</formula>
    </cfRule>
    <cfRule type="expression" dxfId="57" priority="9">
      <formula>$B$17=#REF!</formula>
    </cfRule>
    <cfRule type="expression" dxfId="56" priority="10">
      <formula>#REF!=$B$17</formula>
    </cfRule>
    <cfRule type="expression" dxfId="55" priority="11">
      <formula>$B$17=#REF!</formula>
    </cfRule>
  </conditionalFormatting>
  <dataValidations count="1">
    <dataValidation type="decimal" allowBlank="1" showInputMessage="1" showErrorMessage="1" errorTitle="Chybná hodnota" error="Povolenou vstupní hodnotou je % v intervalu 0 %;100 %" sqref="B7:B10">
      <formula1>0</formula1>
      <formula2>1</formula2>
    </dataValidation>
  </dataValidations>
  <pageMargins left="0.7" right="0.7" top="0.78740157499999996" bottom="0.78740157499999996"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
  <sheetViews>
    <sheetView showGridLines="0" workbookViewId="0">
      <selection activeCell="B4" sqref="B4"/>
    </sheetView>
  </sheetViews>
  <sheetFormatPr defaultRowHeight="15" x14ac:dyDescent="0.25"/>
  <cols>
    <col min="1" max="1" width="80.140625" style="1" bestFit="1" customWidth="1"/>
    <col min="2" max="2" width="18.85546875" customWidth="1"/>
    <col min="3" max="3" width="17.85546875" customWidth="1"/>
    <col min="4" max="4" width="13.28515625" customWidth="1"/>
    <col min="5" max="5" width="18.5703125" hidden="1" customWidth="1"/>
  </cols>
  <sheetData>
    <row r="1" spans="1:2" ht="21" x14ac:dyDescent="0.35">
      <c r="A1" s="43" t="str">
        <f>CONCATENATE("M-POP2 – ",VLOOKUP(8,Lang!$A$6:$K$1006,Lang!$M$1+1,FALSE))</f>
        <v xml:space="preserve">M-POP2 – Celková rozloha </v>
      </c>
    </row>
    <row r="2" spans="1:2" ht="28.5" customHeight="1" x14ac:dyDescent="0.25">
      <c r="A2" s="88" t="str">
        <f>VLOOKUP(130,Lang!$A$6:$K$1006,Lang!$M$1+1,FALSE)</f>
        <v>Metodický list indikátoru</v>
      </c>
    </row>
    <row r="4" spans="1:2" x14ac:dyDescent="0.25">
      <c r="A4" s="23" t="str">
        <f>VLOOKUP(80,Lang!$A$6:$K$1006,Lang!$M$1+1,FALSE)</f>
        <v xml:space="preserve"> Zadejte rozlohu města/městské části/obce v hektarech</v>
      </c>
      <c r="B4" s="125"/>
    </row>
  </sheetData>
  <sheetProtection sheet="1" objects="1" scenarios="1"/>
  <dataValidations count="1">
    <dataValidation type="decimal" allowBlank="1" showInputMessage="1" showErrorMessage="1" errorTitle="Chybná hodnota" error="Interval: 1,00 - 1 000 000,00" sqref="B4">
      <formula1>1</formula1>
      <formula2>1000000</formula2>
    </dataValidation>
  </dataValidations>
  <hyperlinks>
    <hyperlink ref="A2" r:id="rId1" tooltip="stáhnout metodický list indikátoru" display="https://www.klimasken.cz/cs/download/metodicky_list-POP2.pdf"/>
  </hyperlinks>
  <pageMargins left="0.7" right="0.7" top="0.78740157499999996" bottom="0.78740157499999996" header="0.3" footer="0.3"/>
  <pageSetup paperSize="9" orientation="portrait" horizontalDpi="0" verticalDpi="0" r:id="rId2"/>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1"/>
  <sheetViews>
    <sheetView showGridLines="0" workbookViewId="0">
      <selection activeCell="A4" sqref="A4"/>
    </sheetView>
  </sheetViews>
  <sheetFormatPr defaultRowHeight="15" x14ac:dyDescent="0.25"/>
  <cols>
    <col min="1" max="1" width="74" style="1" bestFit="1" customWidth="1"/>
    <col min="2" max="2" width="18.85546875" customWidth="1"/>
    <col min="3" max="3" width="17.85546875" customWidth="1"/>
    <col min="4" max="4" width="13.28515625" customWidth="1"/>
  </cols>
  <sheetData>
    <row r="1" spans="1:2" ht="55.5" customHeight="1" x14ac:dyDescent="0.25">
      <c r="A1" s="122" t="str">
        <f>CONCATENATE("M-GOV6 – ",VLOOKUP(66,Lang!$A$6:$K$1006,Lang!$M$1+1,FALSE))</f>
        <v>M-GOV6 – Podíl světelných míst veřejného osvětlení vyměněných za efektivnější zdroj</v>
      </c>
      <c r="B1" s="122"/>
    </row>
    <row r="2" spans="1:2" ht="28.5" customHeight="1" x14ac:dyDescent="0.25">
      <c r="A2" s="88" t="str">
        <f>VLOOKUP(130,Lang!$A$6:$K$1006,Lang!$M$1+1,FALSE)</f>
        <v>Metodický list indikátoru</v>
      </c>
    </row>
    <row r="4" spans="1:2" s="49" customFormat="1" x14ac:dyDescent="0.25">
      <c r="A4" s="5" t="str">
        <f>VLOOKUP(168,Lang!$A$6:$K$1006,Lang!$M$1+1,FALSE)</f>
        <v>Podíl míst veřejného osvětlení s efektivním zdrojem</v>
      </c>
      <c r="B4" s="143"/>
    </row>
    <row r="5" spans="1:2" x14ac:dyDescent="0.25">
      <c r="B5" s="136"/>
    </row>
    <row r="6" spans="1:2" x14ac:dyDescent="0.25">
      <c r="B6" s="136"/>
    </row>
    <row r="7" spans="1:2" x14ac:dyDescent="0.25">
      <c r="B7" s="136"/>
    </row>
    <row r="8" spans="1:2" x14ac:dyDescent="0.25">
      <c r="A8" s="135" t="str">
        <f>VLOOKUP(319,Lang!$A$6:$K$1006,Lang!$M$1+1,FALSE)</f>
        <v>Celkový počet světelných míst ve městě/obci/městské části</v>
      </c>
      <c r="B8" s="131"/>
    </row>
    <row r="9" spans="1:2" x14ac:dyDescent="0.25">
      <c r="A9" s="135" t="str">
        <f>VLOOKUP(320,Lang!$A$6:$K$1006,Lang!$M$1+1,FALSE)</f>
        <v>Celkový počet světelných míst s vyměněným zdrojem</v>
      </c>
      <c r="B9" s="131"/>
    </row>
    <row r="10" spans="1:2" ht="15.75" thickBot="1" x14ac:dyDescent="0.3"/>
    <row r="11" spans="1:2" ht="15.75" thickBot="1" x14ac:dyDescent="0.3">
      <c r="A11" s="21" t="str">
        <f>IF(B11="N/A",VLOOKUP(146,Lang!$A$6:$K$1006,Lang!$M$1+1,FALSE),VLOOKUP(180,Lang!$A$6:$K$1006,Lang!$M$1+1,FALSE))</f>
        <v>Výpočet nemůže proběhnout</v>
      </c>
      <c r="B11" s="103" t="str">
        <f>IF(B8=0,"N/A",+B9/B8)</f>
        <v>N/A</v>
      </c>
    </row>
  </sheetData>
  <sheetProtection sheet="1" objects="1" scenarios="1"/>
  <mergeCells count="1">
    <mergeCell ref="A1:B1"/>
  </mergeCells>
  <conditionalFormatting sqref="B17">
    <cfRule type="expression" dxfId="54" priority="1">
      <formula>$B$17=#REF!</formula>
    </cfRule>
    <cfRule type="expression" dxfId="53" priority="2">
      <formula>$B$17=#REF!</formula>
    </cfRule>
    <cfRule type="expression" dxfId="52" priority="3">
      <formula>$B$17=#REF!</formula>
    </cfRule>
    <cfRule type="expression" dxfId="51" priority="4">
      <formula>#REF!=$B$17</formula>
    </cfRule>
    <cfRule type="expression" dxfId="50" priority="5">
      <formula>$B$17=#REF!</formula>
    </cfRule>
  </conditionalFormatting>
  <dataValidations count="1">
    <dataValidation type="decimal" allowBlank="1" showInputMessage="1" showErrorMessage="1" errorTitle="Chybná hodnota" error="Povolenou hodnotou je procento v intervalu 0%;100%" sqref="B4">
      <formula1>0</formula1>
      <formula2>1</formula2>
    </dataValidation>
  </dataValidations>
  <pageMargins left="0.7" right="0.7" top="0.78740157499999996" bottom="0.78740157499999996"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5"/>
  <sheetViews>
    <sheetView showGridLines="0" workbookViewId="0">
      <selection activeCell="B8" sqref="B8"/>
    </sheetView>
  </sheetViews>
  <sheetFormatPr defaultRowHeight="15" x14ac:dyDescent="0.25"/>
  <cols>
    <col min="1" max="1" width="94.85546875" style="1" customWidth="1"/>
    <col min="2" max="2" width="18.85546875" customWidth="1"/>
    <col min="3" max="3" width="17.85546875" customWidth="1"/>
    <col min="4" max="4" width="13.28515625" customWidth="1"/>
  </cols>
  <sheetData>
    <row r="1" spans="1:2" ht="33" customHeight="1" x14ac:dyDescent="0.25">
      <c r="A1" s="122" t="str">
        <f>CONCATENATE("M-GOV7 – ",VLOOKUP(67,Lang!$A$6:$K$1006,Lang!$M$1+1,FALSE))</f>
        <v>M-GOV7 – Instalovaný výkon nově nainstalovaných fotovoltaických panelů na obyvatele</v>
      </c>
      <c r="B1" s="122"/>
    </row>
    <row r="2" spans="1:2" ht="28.5" customHeight="1" x14ac:dyDescent="0.25">
      <c r="A2" s="88" t="str">
        <f>VLOOKUP(130,Lang!$A$6:$K$1006,Lang!$M$1+1,FALSE)</f>
        <v>Metodický list indikátoru</v>
      </c>
    </row>
    <row r="4" spans="1:2" x14ac:dyDescent="0.25">
      <c r="A4" s="5" t="str">
        <f>VLOOKUP(186,Lang!$A$6:$K$1006,Lang!$M$1+1,FALSE)</f>
        <v>Instalovaný výkon na tis. obyv.</v>
      </c>
      <c r="B4" s="139"/>
    </row>
    <row r="6" spans="1:2" x14ac:dyDescent="0.25">
      <c r="A6" s="13" t="str">
        <f>VLOOKUP(400,Lang!$A$6:$K$1006,Lang!$M$1+1,FALSE)</f>
        <v>Pomůcka - pomocný výpočet</v>
      </c>
    </row>
    <row r="7" spans="1:2" s="49" customFormat="1" ht="18.75" customHeight="1" x14ac:dyDescent="0.25">
      <c r="A7" s="47" t="str">
        <f>VLOOKUP(187,Lang!$A$6:$K$1006,Lang!$M$1+1,FALSE)</f>
        <v>Do žlutého pole zadejte instalovaný výkon v kWp</v>
      </c>
    </row>
    <row r="8" spans="1:2" x14ac:dyDescent="0.25">
      <c r="A8" s="1" t="str">
        <f>VLOOKUP(188,Lang!$A$6:$K$1006,Lang!$M$1+1,FALSE)</f>
        <v>Instalovaný výkon (kWp)</v>
      </c>
      <c r="B8" s="142"/>
    </row>
    <row r="9" spans="1:2" ht="15.75" thickBot="1" x14ac:dyDescent="0.3">
      <c r="A9" s="94" t="str">
        <f>IF('M-POP1'!B4="",VLOOKUP(124,Lang!$A$6:$K$1006,Lang!$M$1+1,FALSE),VLOOKUP(173,Lang!$A$6:$K$1006,Lang!$M$1+1,FALSE))</f>
        <v>Zadejte nejprve hodnotu M-POP1</v>
      </c>
      <c r="B9" t="str">
        <f>IF('M-POP1'!B4="","N/A",'M-POP1'!B4)</f>
        <v>N/A</v>
      </c>
    </row>
    <row r="10" spans="1:2" ht="20.25" customHeight="1" thickBot="1" x14ac:dyDescent="0.3">
      <c r="A10" s="21" t="str">
        <f>IF('M-POP1'!B4="",VLOOKUP(93,Lang!$A$6:$K$1006,Lang!$M$1+1,FALSE),VLOOKUP(189,Lang!$A$6:$K$1006,Lang!$M$1+1,FALSE))</f>
        <v>Výpočet nemůže proběhnout</v>
      </c>
      <c r="B10" s="28" t="str">
        <f>IF('M-POP1'!B4="","N/A",+B8/(B9/1000))</f>
        <v>N/A</v>
      </c>
    </row>
    <row r="12" spans="1:2" x14ac:dyDescent="0.25">
      <c r="A12" s="104" t="str">
        <f>IF('M-POP1'!B4=0,VLOOKUP(182,Lang!$A$6:$K$1006,Lang!$M$1+1,FALSE),"")</f>
        <v>Počet obyvatel (M-POP1) není pravděpodobně zadán.</v>
      </c>
    </row>
    <row r="13" spans="1:2" x14ac:dyDescent="0.25">
      <c r="A13" s="18"/>
    </row>
    <row r="14" spans="1:2" x14ac:dyDescent="0.25">
      <c r="A14" s="18"/>
    </row>
    <row r="15" spans="1:2" x14ac:dyDescent="0.25">
      <c r="A15" s="18"/>
    </row>
  </sheetData>
  <sheetProtection sheet="1" objects="1" scenarios="1"/>
  <mergeCells count="1">
    <mergeCell ref="A1:B1"/>
  </mergeCells>
  <conditionalFormatting sqref="B17">
    <cfRule type="expression" dxfId="49" priority="1">
      <formula>$B$17=#REF!</formula>
    </cfRule>
    <cfRule type="expression" dxfId="48" priority="2">
      <formula>$B$17=#REF!</formula>
    </cfRule>
    <cfRule type="expression" dxfId="47" priority="3">
      <formula>$B$17=#REF!</formula>
    </cfRule>
    <cfRule type="expression" dxfId="46" priority="4">
      <formula>#REF!=$B$17</formula>
    </cfRule>
    <cfRule type="expression" dxfId="45" priority="5">
      <formula>$B$17=#REF!</formula>
    </cfRule>
  </conditionalFormatting>
  <dataValidations count="2">
    <dataValidation type="decimal" allowBlank="1" showInputMessage="1" showErrorMessage="1" errorTitle="Chybná hodnota" error="Povolenou hodnotou je nezáporné číslo" sqref="B4">
      <formula1>0</formula1>
      <formula2>999999999999999</formula2>
    </dataValidation>
    <dataValidation type="decimal" allowBlank="1" showInputMessage="1" showErrorMessage="1" errorTitle="Chybný vstup" error="Vstupní hodnotou je nezáporné číslo._x000a_" sqref="B8">
      <formula1>0</formula1>
      <formula2>999999999999999</formula2>
    </dataValidation>
  </dataValidations>
  <hyperlinks>
    <hyperlink ref="A9" location="'M-POP1'!B4" display="'M-POP1'!B4"/>
    <hyperlink ref="A12" location="'M-POP1'!B4" display="'M-POP1'!B4"/>
  </hyperlinks>
  <pageMargins left="0.7" right="0.7" top="0.78740157499999996" bottom="0.78740157499999996" header="0.3" footer="0.3"/>
  <pageSetup paperSize="9" orientation="portrait" horizontalDpi="0" verticalDpi="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5"/>
  <sheetViews>
    <sheetView showGridLines="0" workbookViewId="0">
      <selection activeCell="B8" sqref="B8"/>
    </sheetView>
  </sheetViews>
  <sheetFormatPr defaultRowHeight="15" x14ac:dyDescent="0.25"/>
  <cols>
    <col min="1" max="1" width="120.140625" style="1" customWidth="1"/>
    <col min="2" max="2" width="18.85546875" customWidth="1"/>
    <col min="3" max="3" width="17.85546875" customWidth="1"/>
    <col min="4" max="4" width="13.28515625" customWidth="1"/>
  </cols>
  <sheetData>
    <row r="1" spans="1:2" ht="39" customHeight="1" x14ac:dyDescent="0.25">
      <c r="A1" s="122" t="str">
        <f>CONCATENATE("M-GOV8 – ",VLOOKUP(68,Lang!$A$6:$K$1006,Lang!$M$1+1,FALSE))</f>
        <v>M-GOV8 – Celkový výkon náhradních zdrojů na výrobu elektřiny</v>
      </c>
      <c r="B1" s="122"/>
    </row>
    <row r="2" spans="1:2" ht="28.5" customHeight="1" x14ac:dyDescent="0.25">
      <c r="A2" s="88" t="str">
        <f>VLOOKUP(130,Lang!$A$6:$K$1006,Lang!$M$1+1,FALSE)</f>
        <v>Metodický list indikátoru</v>
      </c>
    </row>
    <row r="4" spans="1:2" x14ac:dyDescent="0.25">
      <c r="A4" s="5" t="str">
        <f>VLOOKUP(190,Lang!$A$6:$K$1006,Lang!$M$1+1,FALSE)</f>
        <v>Výkon náhradních zdrojů na tis. obyv.</v>
      </c>
      <c r="B4" s="139"/>
    </row>
    <row r="6" spans="1:2" x14ac:dyDescent="0.25">
      <c r="A6" s="13" t="str">
        <f>VLOOKUP(400,Lang!$A$6:$K$1006,Lang!$M$1+1,FALSE)</f>
        <v>Pomůcka - pomocný výpočet</v>
      </c>
    </row>
    <row r="7" spans="1:2" s="49" customFormat="1" ht="21.75" customHeight="1" x14ac:dyDescent="0.25">
      <c r="A7" s="47" t="str">
        <f>VLOOKUP(191,Lang!$A$6:$K$1006,Lang!$M$1+1,FALSE)</f>
        <v>Do žlutého pole zadejte instalovaný výkon v kVA</v>
      </c>
    </row>
    <row r="8" spans="1:2" x14ac:dyDescent="0.25">
      <c r="A8" s="1" t="str">
        <f>VLOOKUP(192,Lang!$A$6:$K$1006,Lang!$M$1+1,FALSE)</f>
        <v>Instalovaný výkon (kVA)</v>
      </c>
      <c r="B8" s="127"/>
    </row>
    <row r="9" spans="1:2" ht="15.75" thickBot="1" x14ac:dyDescent="0.3">
      <c r="A9" s="94" t="str">
        <f>IF('M-POP1'!B4="",VLOOKUP(124,Lang!$A$6:$K$1006,Lang!$M$1+1,FALSE),VLOOKUP(173,Lang!$A$6:$K$1006,Lang!$M$1+1,FALSE))</f>
        <v>Zadejte nejprve hodnotu M-POP1</v>
      </c>
      <c r="B9" t="str">
        <f>IF('M-POP1'!B4="","N/A",'M-POP1'!B4)</f>
        <v>N/A</v>
      </c>
    </row>
    <row r="10" spans="1:2" ht="15.75" thickBot="1" x14ac:dyDescent="0.3">
      <c r="A10" s="21" t="str">
        <f>IF('M-POP1'!B4="",VLOOKUP(93,Lang!$A$6:$K$1006,Lang!$M$1+1,FALSE),VLOOKUP(189,Lang!$A$6:$K$1006,Lang!$M$1+1,FALSE))</f>
        <v>Výpočet nemůže proběhnout</v>
      </c>
      <c r="B10" s="28" t="str">
        <f>IF('M-POP1'!B4="","N/A",+B8/(B9/1000))</f>
        <v>N/A</v>
      </c>
    </row>
    <row r="12" spans="1:2" x14ac:dyDescent="0.25">
      <c r="A12" s="104" t="str">
        <f>IF('M-POP1'!B4=0,VLOOKUP(182,Lang!$A$6:$K$1006,Lang!$M$1+1,FALSE),"")</f>
        <v>Počet obyvatel (M-POP1) není pravděpodobně zadán.</v>
      </c>
    </row>
    <row r="13" spans="1:2" x14ac:dyDescent="0.25">
      <c r="A13" s="18"/>
    </row>
    <row r="14" spans="1:2" x14ac:dyDescent="0.25">
      <c r="A14" s="18"/>
    </row>
    <row r="15" spans="1:2" x14ac:dyDescent="0.25">
      <c r="A15" s="18"/>
    </row>
  </sheetData>
  <sheetProtection sheet="1" objects="1" scenarios="1"/>
  <mergeCells count="1">
    <mergeCell ref="A1:B1"/>
  </mergeCells>
  <conditionalFormatting sqref="B17">
    <cfRule type="expression" dxfId="44" priority="1">
      <formula>$B$17=#REF!</formula>
    </cfRule>
    <cfRule type="expression" dxfId="43" priority="2">
      <formula>$B$17=#REF!</formula>
    </cfRule>
    <cfRule type="expression" dxfId="42" priority="3">
      <formula>$B$17=#REF!</formula>
    </cfRule>
    <cfRule type="expression" dxfId="41" priority="4">
      <formula>#REF!=$B$17</formula>
    </cfRule>
    <cfRule type="expression" dxfId="40" priority="5">
      <formula>$B$17=#REF!</formula>
    </cfRule>
  </conditionalFormatting>
  <dataValidations count="2">
    <dataValidation type="decimal" allowBlank="1" showInputMessage="1" showErrorMessage="1" errorTitle="Chybný vstup" error="Vstupní hodnotou je nezáporné číslo._x000a_" sqref="B8">
      <formula1>0</formula1>
      <formula2>999999999999999</formula2>
    </dataValidation>
    <dataValidation type="decimal" allowBlank="1" showInputMessage="1" showErrorMessage="1" errorTitle="Chybná hodnota" error="Povolenou hodnotou je nezáporné číslo" sqref="B4">
      <formula1>0</formula1>
      <formula2>999999999999999</formula2>
    </dataValidation>
  </dataValidations>
  <hyperlinks>
    <hyperlink ref="A12" location="'M-POP1'!B4" display="'M-POP1'!B4"/>
    <hyperlink ref="A9" location="'M-POP1'!B4" display="'M-POP1'!B4"/>
  </hyperlinks>
  <pageMargins left="0.7" right="0.7" top="0.78740157499999996" bottom="0.78740157499999996"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1"/>
  <sheetViews>
    <sheetView showGridLines="0" workbookViewId="0">
      <selection activeCell="C22" sqref="C22"/>
    </sheetView>
  </sheetViews>
  <sheetFormatPr defaultRowHeight="15" x14ac:dyDescent="0.25"/>
  <cols>
    <col min="1" max="1" width="93.42578125" style="1" customWidth="1"/>
    <col min="2" max="2" width="18.85546875" customWidth="1"/>
    <col min="3" max="3" width="17.85546875" customWidth="1"/>
    <col min="4" max="4" width="13.28515625" customWidth="1"/>
  </cols>
  <sheetData>
    <row r="1" spans="1:2" ht="50.25" customHeight="1" x14ac:dyDescent="0.25">
      <c r="A1" s="122" t="str">
        <f>CONCATENATE("M-GOV9 – ",VLOOKUP(69,Lang!$A$6:$K$1006,Lang!$M$1+1,FALSE))</f>
        <v>M-GOV9 – Veřejné budovy ve správě města/městské části/obce renovované za účelem zvýšení jejich adaptability na dopady změny klimatu</v>
      </c>
      <c r="B1" s="122"/>
    </row>
    <row r="2" spans="1:2" ht="28.5" customHeight="1" x14ac:dyDescent="0.25">
      <c r="A2" s="88" t="str">
        <f>VLOOKUP(130,Lang!$A$6:$K$1006,Lang!$M$1+1,FALSE)</f>
        <v>Metodický list indikátoru</v>
      </c>
    </row>
    <row r="4" spans="1:2" x14ac:dyDescent="0.25">
      <c r="A4" s="6" t="str">
        <f>VLOOKUP(149,Lang!$A$6:$K$1006,Lang!$M$1+1,FALSE)</f>
        <v>Podíl renovovaných budov</v>
      </c>
      <c r="B4" s="128"/>
    </row>
    <row r="5" spans="1:2" x14ac:dyDescent="0.25">
      <c r="B5" s="136"/>
    </row>
    <row r="6" spans="1:2" x14ac:dyDescent="0.25">
      <c r="B6" s="136"/>
    </row>
    <row r="7" spans="1:2" x14ac:dyDescent="0.25">
      <c r="B7" s="136"/>
    </row>
    <row r="8" spans="1:2" x14ac:dyDescent="0.25">
      <c r="A8" s="135" t="str">
        <f>VLOOKUP(321,Lang!$A$6:$K$1006,Lang!$M$1+1,FALSE)</f>
        <v>Celkový počet budov</v>
      </c>
      <c r="B8" s="131"/>
    </row>
    <row r="9" spans="1:2" x14ac:dyDescent="0.25">
      <c r="A9" s="135" t="str">
        <f>VLOOKUP(322,Lang!$A$6:$K$1006,Lang!$M$1+1,FALSE)</f>
        <v>Celkový počet obnovených budov</v>
      </c>
      <c r="B9" s="131"/>
    </row>
    <row r="10" spans="1:2" ht="15.75" thickBot="1" x14ac:dyDescent="0.3"/>
    <row r="11" spans="1:2" ht="15.75" thickBot="1" x14ac:dyDescent="0.3">
      <c r="A11" s="21" t="str">
        <f>IF(B11="N/A",VLOOKUP(146,Lang!$A$6:$K$1006,Lang!$M$1+1,FALSE),VLOOKUP(180,Lang!$A$6:$K$1006,Lang!$M$1+1,FALSE))</f>
        <v>Výpočet nemůže proběhnout</v>
      </c>
      <c r="B11" s="103" t="str">
        <f>IF(B8=0,"N/A",+B9/B8)</f>
        <v>N/A</v>
      </c>
    </row>
  </sheetData>
  <sheetProtection sheet="1" objects="1" scenarios="1"/>
  <mergeCells count="1">
    <mergeCell ref="A1:B1"/>
  </mergeCells>
  <conditionalFormatting sqref="B17">
    <cfRule type="expression" dxfId="39" priority="1">
      <formula>$B$17=#REF!</formula>
    </cfRule>
    <cfRule type="expression" dxfId="38" priority="2">
      <formula>$B$17=#REF!</formula>
    </cfRule>
    <cfRule type="expression" dxfId="37" priority="3">
      <formula>$B$17=#REF!</formula>
    </cfRule>
    <cfRule type="expression" dxfId="36" priority="4">
      <formula>#REF!=$B$17</formula>
    </cfRule>
    <cfRule type="expression" dxfId="35" priority="5">
      <formula>$B$17=#REF!</formula>
    </cfRule>
  </conditionalFormatting>
  <dataValidations count="1">
    <dataValidation type="decimal" allowBlank="1" showInputMessage="1" showErrorMessage="1" errorTitle="Chybná hodnota" error="Povolenou hodnotou je procento v intervalu 0%;100%" sqref="B4">
      <formula1>0</formula1>
      <formula2>1</formula2>
    </dataValidation>
  </dataValidations>
  <pageMargins left="0.7" right="0.7" top="0.78740157499999996" bottom="0.78740157499999996"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5"/>
  <sheetViews>
    <sheetView showGridLines="0" workbookViewId="0">
      <selection sqref="A1:B1"/>
    </sheetView>
  </sheetViews>
  <sheetFormatPr defaultRowHeight="15" x14ac:dyDescent="0.25"/>
  <cols>
    <col min="1" max="1" width="118.7109375" style="1" customWidth="1"/>
    <col min="2" max="2" width="18.85546875" customWidth="1"/>
    <col min="3" max="3" width="17.85546875" customWidth="1"/>
    <col min="4" max="4" width="13.28515625" customWidth="1"/>
  </cols>
  <sheetData>
    <row r="1" spans="1:2" ht="65.099999999999994" customHeight="1" x14ac:dyDescent="0.25">
      <c r="A1" s="122" t="str">
        <f>CONCATENATE("M-GOV10 – ",VLOOKUP(70,Lang!$A$6:$K$1006,Lang!$M$1+1,FALSE))</f>
        <v>M-GOV10 – Rozloha plochy území změněné na zelenou infrastrukturu</v>
      </c>
      <c r="B1" s="122"/>
    </row>
    <row r="2" spans="1:2" ht="28.5" customHeight="1" x14ac:dyDescent="0.25">
      <c r="A2" s="88" t="str">
        <f>VLOOKUP(130,Lang!$A$6:$K$1006,Lang!$M$1+1,FALSE)</f>
        <v>Metodický list indikátoru</v>
      </c>
    </row>
    <row r="4" spans="1:2" x14ac:dyDescent="0.25">
      <c r="A4" s="5" t="str">
        <f>VLOOKUP(193,Lang!$A$6:$K$1006,Lang!$M$1+1,FALSE)</f>
        <v>Zelená infrastrutkura (m²/tis.obyv.)</v>
      </c>
      <c r="B4" s="139"/>
    </row>
    <row r="5" spans="1:2" x14ac:dyDescent="0.25">
      <c r="B5" s="136"/>
    </row>
    <row r="6" spans="1:2" x14ac:dyDescent="0.25">
      <c r="A6" s="13" t="str">
        <f>VLOOKUP(400,Lang!$A$6:$K$1006,Lang!$M$1+1,FALSE)</f>
        <v>Pomůcka - pomocný výpočet</v>
      </c>
      <c r="B6" s="136"/>
    </row>
    <row r="7" spans="1:2" s="59" customFormat="1" x14ac:dyDescent="0.25">
      <c r="A7" s="47" t="str">
        <f>VLOOKUP(194,Lang!$A$6:$K$1006,Lang!$M$1+1,FALSE)</f>
        <v>Do žlutého pole zadejte plochu ZI v m²</v>
      </c>
      <c r="B7" s="140"/>
    </row>
    <row r="8" spans="1:2" s="60" customFormat="1" x14ac:dyDescent="0.25">
      <c r="A8" s="52" t="str">
        <f>VLOOKUP(195,Lang!$A$6:$K$1006,Lang!$M$1+1,FALSE)</f>
        <v>Zelená infrastuktura v m²</v>
      </c>
      <c r="B8" s="141"/>
    </row>
    <row r="9" spans="1:2" ht="15.75" thickBot="1" x14ac:dyDescent="0.3">
      <c r="A9" s="94" t="str">
        <f>IF('M-POP1'!B4="",VLOOKUP(124,Lang!$A$6:$K$1006,Lang!$M$1+1,FALSE),VLOOKUP(173,Lang!$A$6:$K$1006,Lang!$M$1+1,FALSE))</f>
        <v>Zadejte nejprve hodnotu M-POP1</v>
      </c>
      <c r="B9" t="str">
        <f>IF('M-POP1'!B4="","N/A",'M-POP1'!B4)</f>
        <v>N/A</v>
      </c>
    </row>
    <row r="10" spans="1:2" ht="15.75" thickBot="1" x14ac:dyDescent="0.3">
      <c r="A10" s="21" t="str">
        <f>IF('M-POP1'!B4="",VLOOKUP(93,Lang!$A$6:$K$1006,Lang!$M$1+1,FALSE),VLOOKUP(196,Lang!$A$6:$K$1006,Lang!$M$1+1,FALSE))</f>
        <v>Výpočet nemůže proběhnout</v>
      </c>
      <c r="B10" s="28" t="str">
        <f>IF('M-POP1'!B4="","N/A",+B8/(B9/1000))</f>
        <v>N/A</v>
      </c>
    </row>
    <row r="12" spans="1:2" x14ac:dyDescent="0.25">
      <c r="A12" s="18" t="str">
        <f>IF(B8/10000&gt;'M-POP2'!B4,"Uváděná plocha MZI je vyšší než uvedená rozloha města / MČ! (indikátor M-POP2)","")</f>
        <v/>
      </c>
    </row>
    <row r="13" spans="1:2" x14ac:dyDescent="0.25">
      <c r="A13" s="18"/>
    </row>
    <row r="14" spans="1:2" x14ac:dyDescent="0.25">
      <c r="A14" s="18"/>
    </row>
    <row r="15" spans="1:2" x14ac:dyDescent="0.25">
      <c r="A15" s="18"/>
    </row>
  </sheetData>
  <sheetProtection sheet="1" objects="1" scenarios="1"/>
  <mergeCells count="1">
    <mergeCell ref="A1:B1"/>
  </mergeCells>
  <conditionalFormatting sqref="B17">
    <cfRule type="expression" dxfId="34" priority="1">
      <formula>$B$17=#REF!</formula>
    </cfRule>
    <cfRule type="expression" dxfId="33" priority="2">
      <formula>$B$17=#REF!</formula>
    </cfRule>
    <cfRule type="expression" dxfId="32" priority="3">
      <formula>$B$17=#REF!</formula>
    </cfRule>
    <cfRule type="expression" dxfId="31" priority="4">
      <formula>#REF!=$B$17</formula>
    </cfRule>
    <cfRule type="expression" dxfId="30" priority="5">
      <formula>$B$17=#REF!</formula>
    </cfRule>
  </conditionalFormatting>
  <dataValidations count="1">
    <dataValidation type="decimal" allowBlank="1" showInputMessage="1" showErrorMessage="1" errorTitle="Chybná hodnota" error="Povolenou hodnotou je nezáporné číslo" sqref="B4">
      <formula1>0</formula1>
      <formula2>999999999999999</formula2>
    </dataValidation>
  </dataValidations>
  <hyperlinks>
    <hyperlink ref="A9" location="'M-POP1'!B4" display="'M-POP1'!B4"/>
  </hyperlinks>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1">
        <x14:dataValidation type="decimal" allowBlank="1" showInputMessage="1" showErrorMessage="1" errorTitle="Chybný vstup" error="Plocha MZI nemůže být větší než rozloha města (Indikátor POP2)_x000a_">
          <x14:formula1>
            <xm:f>0</xm:f>
          </x14:formula1>
          <x14:formula2>
            <xm:f>'M-POP2'!B4*10000</xm:f>
          </x14:formula2>
          <xm:sqref>B8</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1"/>
  <sheetViews>
    <sheetView showGridLines="0" workbookViewId="0">
      <selection activeCell="B6" sqref="B6"/>
    </sheetView>
  </sheetViews>
  <sheetFormatPr defaultRowHeight="15" x14ac:dyDescent="0.25"/>
  <cols>
    <col min="1" max="1" width="87.5703125" style="1" customWidth="1"/>
    <col min="2" max="2" width="18.85546875" customWidth="1"/>
    <col min="3" max="3" width="17.85546875" customWidth="1"/>
    <col min="4" max="4" width="13.28515625" customWidth="1"/>
  </cols>
  <sheetData>
    <row r="1" spans="1:2" ht="66" customHeight="1" x14ac:dyDescent="0.25">
      <c r="A1" s="122" t="str">
        <f>CONCATENATE("M-GOV11 – ",VLOOKUP(71,Lang!$A$6:$K$1006,Lang!$M$1+1,FALSE))</f>
        <v>M-GOV11 – Podíl ztrát vody v distribučním systému na celkové výrobě</v>
      </c>
      <c r="B1" s="122"/>
    </row>
    <row r="2" spans="1:2" ht="28.5" customHeight="1" x14ac:dyDescent="0.25">
      <c r="A2" s="88" t="str">
        <f>VLOOKUP(130,Lang!$A$6:$K$1006,Lang!$M$1+1,FALSE)</f>
        <v>Metodický list indikátoru</v>
      </c>
    </row>
    <row r="4" spans="1:2" x14ac:dyDescent="0.25">
      <c r="A4" s="6" t="str">
        <f>VLOOKUP(148,Lang!$A$6:$K$1006,Lang!$M$1+1,FALSE)</f>
        <v>Podíl ztrát vody</v>
      </c>
      <c r="B4" s="128"/>
    </row>
    <row r="8" spans="1:2" x14ac:dyDescent="0.25">
      <c r="A8" s="135" t="str">
        <f>VLOOKUP(352,Lang!$A$6:$K$1006,Lang!$M$1+1,FALSE)</f>
        <v>Množství vyrobené pitné vody</v>
      </c>
      <c r="B8" s="131"/>
    </row>
    <row r="9" spans="1:2" x14ac:dyDescent="0.25">
      <c r="A9" s="135" t="str">
        <f>VLOOKUP(353,Lang!$A$6:$K$1006,Lang!$M$1+1,FALSE)</f>
        <v>Množství prodané pitné vody</v>
      </c>
      <c r="B9" s="131"/>
    </row>
    <row r="10" spans="1:2" ht="15.75" thickBot="1" x14ac:dyDescent="0.3"/>
    <row r="11" spans="1:2" ht="15.75" thickBot="1" x14ac:dyDescent="0.3">
      <c r="A11" s="21" t="str">
        <f>IF(B11="N/A",VLOOKUP(146,Lang!$A$6:$K$1006,Lang!$M$1+1,FALSE),VLOOKUP(180,Lang!$A$6:$K$1006,Lang!$M$1+1,FALSE))</f>
        <v>Výpočet nemůže proběhnout</v>
      </c>
      <c r="B11" s="103" t="str">
        <f>IF(B8=0,"N/A",1-(B9/B8))</f>
        <v>N/A</v>
      </c>
    </row>
  </sheetData>
  <sheetProtection sheet="1" objects="1" scenarios="1"/>
  <mergeCells count="1">
    <mergeCell ref="A1:B1"/>
  </mergeCells>
  <conditionalFormatting sqref="B17">
    <cfRule type="expression" dxfId="29" priority="1">
      <formula>$B$17=#REF!</formula>
    </cfRule>
    <cfRule type="expression" dxfId="28" priority="2">
      <formula>$B$17=#REF!</formula>
    </cfRule>
    <cfRule type="expression" dxfId="27" priority="3">
      <formula>$B$17=#REF!</formula>
    </cfRule>
    <cfRule type="expression" dxfId="26" priority="4">
      <formula>#REF!=$B$17</formula>
    </cfRule>
    <cfRule type="expression" dxfId="25" priority="5">
      <formula>$B$17=#REF!</formula>
    </cfRule>
  </conditionalFormatting>
  <dataValidations count="2">
    <dataValidation type="decimal" allowBlank="1" showInputMessage="1" showErrorMessage="1" errorTitle="Chybná hodnota" error="Povolenou hodnotou je procento v intervalu 0%;100%" sqref="B4">
      <formula1>0</formula1>
      <formula2>1</formula2>
    </dataValidation>
    <dataValidation type="decimal" allowBlank="1" showInputMessage="1" showErrorMessage="1" error="Interval: min: 0; max. B8" sqref="B9">
      <formula1>0</formula1>
      <formula2>B8</formula2>
    </dataValidation>
  </dataValidations>
  <pageMargins left="0.7" right="0.7" top="0.78740157499999996" bottom="0.78740157499999996"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4"/>
  <sheetViews>
    <sheetView showGridLines="0" workbookViewId="0">
      <selection activeCell="B6" sqref="B6"/>
    </sheetView>
  </sheetViews>
  <sheetFormatPr defaultRowHeight="15" x14ac:dyDescent="0.25"/>
  <cols>
    <col min="1" max="1" width="110.7109375" style="1" customWidth="1"/>
    <col min="2" max="2" width="18.85546875" customWidth="1"/>
    <col min="3" max="3" width="17.85546875" customWidth="1"/>
    <col min="4" max="4" width="13.28515625" customWidth="1"/>
  </cols>
  <sheetData>
    <row r="1" spans="1:2" ht="57.75" customHeight="1" x14ac:dyDescent="0.25">
      <c r="A1" s="122" t="str">
        <f>CONCATENATE("M-GOV12 – ",VLOOKUP(72,Lang!$A$6:$K$1006,Lang!$M$1+1,FALSE))</f>
        <v xml:space="preserve">M-GOV12 – Počet osvětových akcí pro obyvatele a místní aktéry zaměřených na vzdělávání a zvyšování kompetencí (způsobilosti) v oblasti změny klimatu                                                                                                                           </v>
      </c>
      <c r="B1" s="122"/>
    </row>
    <row r="2" spans="1:2" ht="28.5" customHeight="1" x14ac:dyDescent="0.25">
      <c r="A2" s="88" t="str">
        <f>VLOOKUP(130,Lang!$A$6:$K$1006,Lang!$M$1+1,FALSE)</f>
        <v>Metodický list indikátoru</v>
      </c>
    </row>
    <row r="4" spans="1:2" x14ac:dyDescent="0.25">
      <c r="A4" s="5" t="str">
        <f>VLOOKUP(197,Lang!$A$6:$K$1006,Lang!$M$1+1,FALSE)</f>
        <v>Počet akcí na 10 tis. obyv</v>
      </c>
      <c r="B4" s="139"/>
    </row>
    <row r="6" spans="1:2" x14ac:dyDescent="0.25">
      <c r="A6" s="13" t="str">
        <f>VLOOKUP(400,Lang!$A$6:$K$1006,Lang!$M$1+1,FALSE)</f>
        <v>Pomůcka - pomocný výpočet</v>
      </c>
    </row>
    <row r="7" spans="1:2" x14ac:dyDescent="0.25">
      <c r="A7" s="14" t="str">
        <f>VLOOKUP(198,Lang!$A$6:$K$1006,Lang!$M$1+1,FALSE)</f>
        <v>Zadejte počet akcí</v>
      </c>
      <c r="B7" s="127"/>
    </row>
    <row r="8" spans="1:2" ht="15.75" thickBot="1" x14ac:dyDescent="0.3">
      <c r="A8" s="94" t="str">
        <f>IF('M-POP1'!B5="",VLOOKUP(200,Lang!$A$6:$K$1006,Lang!$M$1+1,FALSE),VLOOKUP(201,Lang!$A$6:$K$1006,Lang!$M$1+1,FALSE))</f>
        <v>Zadejte nejprve hodnotu obyvatel (M-POP1)</v>
      </c>
      <c r="B8" t="str">
        <f>IF('M-POP1'!B4="","N/A",'M-POP1'!B4)</f>
        <v>N/A</v>
      </c>
    </row>
    <row r="9" spans="1:2" ht="15.75" thickBot="1" x14ac:dyDescent="0.3">
      <c r="A9" s="21" t="str">
        <f>IF('M-POP1'!B4="",VLOOKUP(93,Lang!$A$6:$K$1006,Lang!$M$1+1,FALSE),VLOOKUP(202,Lang!$A$6:$K$1006,Lang!$M$1+1,FALSE))</f>
        <v>Výpočet nemůže proběhnout</v>
      </c>
      <c r="B9" s="22" t="str">
        <f>IF('M-POP1'!B4="","N/A",B7/(B8/10000))</f>
        <v>N/A</v>
      </c>
    </row>
    <row r="11" spans="1:2" x14ac:dyDescent="0.25">
      <c r="A11" s="18"/>
    </row>
    <row r="12" spans="1:2" x14ac:dyDescent="0.25">
      <c r="A12" s="18"/>
    </row>
    <row r="13" spans="1:2" x14ac:dyDescent="0.25">
      <c r="A13" s="18"/>
    </row>
    <row r="14" spans="1:2" x14ac:dyDescent="0.25">
      <c r="A14" s="18"/>
    </row>
  </sheetData>
  <sheetProtection sheet="1" objects="1" scenarios="1"/>
  <mergeCells count="1">
    <mergeCell ref="A1:B1"/>
  </mergeCells>
  <conditionalFormatting sqref="B16">
    <cfRule type="expression" dxfId="24" priority="1">
      <formula>$B$16=#REF!</formula>
    </cfRule>
    <cfRule type="expression" dxfId="23" priority="2">
      <formula>$B$16=#REF!</formula>
    </cfRule>
    <cfRule type="expression" dxfId="22" priority="3">
      <formula>$B$16=#REF!</formula>
    </cfRule>
    <cfRule type="expression" dxfId="21" priority="4">
      <formula>#REF!=$B$16</formula>
    </cfRule>
    <cfRule type="expression" dxfId="20" priority="5">
      <formula>$B$16=#REF!</formula>
    </cfRule>
  </conditionalFormatting>
  <dataValidations count="2">
    <dataValidation type="decimal" allowBlank="1" showInputMessage="1" showErrorMessage="1" errorTitle="Chybná hodnota" error="Povolenou hodnotou je procento v intervalu 0%;100%" sqref="B4">
      <formula1>0</formula1>
      <formula2>1</formula2>
    </dataValidation>
    <dataValidation type="whole" allowBlank="1" showInputMessage="1" showErrorMessage="1" errorTitle="Chybný vstup" error="Interval: min 0; max B9" sqref="B7">
      <formula1>0</formula1>
      <formula2>100000</formula2>
    </dataValidation>
  </dataValidations>
  <hyperlinks>
    <hyperlink ref="A8" location="'M-POP1'!B5" display="'M-POP1'!B5"/>
  </hyperlinks>
  <pageMargins left="0.7" right="0.7" top="0.78740157499999996" bottom="0.78740157499999996"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5"/>
  <sheetViews>
    <sheetView showGridLines="0" workbookViewId="0">
      <selection activeCell="B9" sqref="B9"/>
    </sheetView>
  </sheetViews>
  <sheetFormatPr defaultRowHeight="15" x14ac:dyDescent="0.25"/>
  <cols>
    <col min="1" max="1" width="110.42578125" style="1" customWidth="1"/>
    <col min="2" max="2" width="28.42578125" customWidth="1"/>
    <col min="3" max="3" width="17.85546875" customWidth="1"/>
    <col min="4" max="4" width="13.28515625" customWidth="1"/>
  </cols>
  <sheetData>
    <row r="1" spans="1:2" ht="33.75" customHeight="1" x14ac:dyDescent="0.25">
      <c r="A1" s="122" t="str">
        <f>CONCATENATE("M-GOV13 – ",VLOOKUP(73,Lang!$A$6:$K$1006,Lang!$M$1+1,FALSE))</f>
        <v>M-GOV13 – Podíl obyvatel s trvalým přístupem k některému ze zdrojů informování (SMS, mail…)</v>
      </c>
      <c r="B1" s="122"/>
    </row>
    <row r="2" spans="1:2" ht="28.5" customHeight="1" x14ac:dyDescent="0.25">
      <c r="A2" s="88" t="str">
        <f>VLOOKUP(130,Lang!$A$6:$K$1006,Lang!$M$1+1,FALSE)</f>
        <v>Metodický list indikátoru</v>
      </c>
    </row>
    <row r="4" spans="1:2" x14ac:dyDescent="0.25">
      <c r="A4" s="5" t="str">
        <f>VLOOKUP(203,Lang!$A$6:$K$1006,Lang!$M$1+1,FALSE)</f>
        <v>Podíl obyvatel s přístupem ke zdrojům informací</v>
      </c>
      <c r="B4" s="128"/>
    </row>
    <row r="6" spans="1:2" x14ac:dyDescent="0.25">
      <c r="A6" s="13" t="str">
        <f>VLOOKUP(400,Lang!$A$6:$K$1006,Lang!$M$1+1,FALSE)</f>
        <v>Pomůcka - pomocný výpočet</v>
      </c>
    </row>
    <row r="7" spans="1:2" s="49" customFormat="1" x14ac:dyDescent="0.25">
      <c r="A7" s="47"/>
    </row>
    <row r="8" spans="1:2" x14ac:dyDescent="0.25">
      <c r="A8" s="1" t="str">
        <f>VLOOKUP(204,Lang!$A$6:$K$1006,Lang!$M$1+1,FALSE)</f>
        <v>Zadejte počet obyvatel 15+ s přístupem k informačním zdrojům</v>
      </c>
      <c r="B8" s="127"/>
    </row>
    <row r="9" spans="1:2" ht="15.75" thickBot="1" x14ac:dyDescent="0.3">
      <c r="A9" s="94" t="str">
        <f>IF('M-POP1'!B5="",VLOOKUP(200,Lang!$A$6:$K$1006,Lang!$M$1+1,FALSE),VLOOKUP(201,Lang!$A$6:$K$1006,Lang!$M$1+1,FALSE))</f>
        <v>Zadejte nejprve hodnotu obyvatel (M-POP1)</v>
      </c>
      <c r="B9" t="str">
        <f>IF('M-POP1'!B5="","N/A",'M-POP1'!B5)</f>
        <v>N/A</v>
      </c>
    </row>
    <row r="10" spans="1:2" ht="15.75" thickBot="1" x14ac:dyDescent="0.3">
      <c r="A10" s="21" t="str">
        <f>IF('M-POP1'!B5="",VLOOKUP(93,Lang!$A$6:$K$1006,Lang!$M$1+1,FALSE),VLOOKUP(202,Lang!$A$6:$K$1006,Lang!$M$1+1,FALSE))</f>
        <v>Výpočet nemůže proběhnout</v>
      </c>
      <c r="B10" s="29" t="str">
        <f>IF('M-POP1'!B5="","N/A",+B8/(B9))</f>
        <v>N/A</v>
      </c>
    </row>
    <row r="12" spans="1:2" x14ac:dyDescent="0.25">
      <c r="A12" s="18"/>
    </row>
    <row r="13" spans="1:2" x14ac:dyDescent="0.25">
      <c r="A13" s="18"/>
    </row>
    <row r="14" spans="1:2" x14ac:dyDescent="0.25">
      <c r="A14" s="18"/>
    </row>
    <row r="15" spans="1:2" x14ac:dyDescent="0.25">
      <c r="A15" s="18"/>
    </row>
  </sheetData>
  <sheetProtection sheet="1" objects="1" scenarios="1"/>
  <mergeCells count="1">
    <mergeCell ref="A1:B1"/>
  </mergeCells>
  <conditionalFormatting sqref="B17">
    <cfRule type="expression" dxfId="19" priority="1">
      <formula>$B$17=#REF!</formula>
    </cfRule>
    <cfRule type="expression" dxfId="18" priority="2">
      <formula>$B$17=#REF!</formula>
    </cfRule>
    <cfRule type="expression" dxfId="17" priority="3">
      <formula>$B$17=#REF!</formula>
    </cfRule>
    <cfRule type="expression" dxfId="16" priority="4">
      <formula>#REF!=$B$17</formula>
    </cfRule>
    <cfRule type="expression" dxfId="15" priority="5">
      <formula>$B$17=#REF!</formula>
    </cfRule>
  </conditionalFormatting>
  <dataValidations disablePrompts="1" count="2">
    <dataValidation type="decimal" allowBlank="1" showInputMessage="1" showErrorMessage="1" errorTitle="Chybná hodnota" error="Povolenou hodnotou je procento v intervalu 0%;100%" sqref="B4">
      <formula1>0</formula1>
      <formula2>1</formula2>
    </dataValidation>
    <dataValidation type="decimal" allowBlank="1" showInputMessage="1" showErrorMessage="1" errorTitle="Chybný vstup" error="Interval: min 0; max B9" sqref="B8">
      <formula1>0</formula1>
      <formula2>B9</formula2>
    </dataValidation>
  </dataValidations>
  <hyperlinks>
    <hyperlink ref="A9" location="'M-POP1'!B5" display="'M-POP1'!B5"/>
  </hyperlinks>
  <pageMargins left="0.7" right="0.7" top="0.78740157499999996" bottom="0.78740157499999996"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0"/>
  <sheetViews>
    <sheetView showGridLines="0" workbookViewId="0">
      <selection activeCell="B7" sqref="B7"/>
    </sheetView>
  </sheetViews>
  <sheetFormatPr defaultRowHeight="15" x14ac:dyDescent="0.25"/>
  <cols>
    <col min="1" max="1" width="103.42578125" style="1" customWidth="1"/>
    <col min="2" max="2" width="18.85546875" customWidth="1"/>
    <col min="3" max="3" width="17.85546875" customWidth="1"/>
    <col min="4" max="4" width="13.28515625" customWidth="1"/>
    <col min="5" max="7" width="9.140625" customWidth="1"/>
    <col min="8" max="8" width="18.5703125" hidden="1" customWidth="1"/>
  </cols>
  <sheetData>
    <row r="1" spans="1:2" s="48" customFormat="1" ht="65.099999999999994" customHeight="1" x14ac:dyDescent="0.25">
      <c r="A1" s="42" t="str">
        <f>CONCATENATE("M-GOV14 – ",VLOOKUP(74,Lang!$A$6:$K$1006,Lang!$M$1+1,FALSE))</f>
        <v>M-GOV14 – Zastavění půdy zemědělského půdního fondu (ZPF)</v>
      </c>
    </row>
    <row r="2" spans="1:2" ht="28.5" customHeight="1" x14ac:dyDescent="0.25">
      <c r="A2" s="88" t="str">
        <f>VLOOKUP(130,Lang!$A$6:$K$1006,Lang!$M$1+1,FALSE)</f>
        <v>Metodický list indikátoru</v>
      </c>
    </row>
    <row r="3" spans="1:2" x14ac:dyDescent="0.25">
      <c r="A3" s="1" t="str">
        <f>IF('M-POP5'!B4="","","")</f>
        <v/>
      </c>
    </row>
    <row r="4" spans="1:2" s="49" customFormat="1" x14ac:dyDescent="0.25">
      <c r="A4" s="5" t="str">
        <f>VLOOKUP(141,Lang!$A$6:$K$1006,Lang!$M$1+1,FALSE)</f>
        <v>Podíl plochy zemědělské půdy zastavěné v daném roce</v>
      </c>
      <c r="B4" s="137"/>
    </row>
    <row r="5" spans="1:2" x14ac:dyDescent="0.25">
      <c r="B5" s="136"/>
    </row>
    <row r="6" spans="1:2" x14ac:dyDescent="0.25">
      <c r="A6" s="13" t="str">
        <f>VLOOKUP(400,Lang!$A$6:$K$1006,Lang!$M$1+1,FALSE)</f>
        <v>Pomůcka - pomocný výpočet</v>
      </c>
      <c r="B6" s="136"/>
    </row>
    <row r="7" spans="1:2" s="49" customFormat="1" x14ac:dyDescent="0.25">
      <c r="A7" s="47" t="str">
        <f>VLOOKUP(142,Lang!$A$6:$K$1006,Lang!$M$1+1,FALSE)</f>
        <v>Do žlutého pole zadejte plochu zastavené zemědělské půdy</v>
      </c>
      <c r="B7" s="138"/>
    </row>
    <row r="8" spans="1:2" x14ac:dyDescent="0.25">
      <c r="A8" s="1" t="str">
        <f>VLOOKUP(143,Lang!$A$6:$K$1006,Lang!$M$1+1,FALSE)</f>
        <v>Plocha zastavěné zemědělské půdy v ha</v>
      </c>
      <c r="B8" s="127"/>
    </row>
    <row r="9" spans="1:2" ht="15.75" thickBot="1" x14ac:dyDescent="0.3">
      <c r="A9" s="1" t="str">
        <f>IF(OR('M-POP2'!B4="",'M-POP5'!B4=""),VLOOKUP(144,Lang!$A$6:$K$1006,Lang!$M$1+1,FALSE),VLOOKUP(145,Lang!$A$6:$K$1006,Lang!$M$1+1,FALSE))</f>
        <v>Musí být zadána hodnota indikátorů M-POP2 a M-POP5</v>
      </c>
      <c r="B9" t="str">
        <f>IF(OR('M-POP2'!B4="",'M-POP4'!B4=""),"N/A",'M-POP4'!B4*'M-POP2'!B4)</f>
        <v>N/A</v>
      </c>
    </row>
    <row r="10" spans="1:2" ht="15.75" thickBot="1" x14ac:dyDescent="0.3">
      <c r="A10" s="30" t="str">
        <f>IF(OR('M-POP2'!B4="",'M-POP5'!B4=""),VLOOKUP(146,Lang!$A$6:$K$1006,Lang!$M$1+1,FALSE),VLOOKUP(147,Lang!$A$6:$K$1006,Lang!$M$1+1,FALSE))</f>
        <v>Výpočet nemůže proběhnout</v>
      </c>
      <c r="B10" s="29" t="str">
        <f>IF(OR('M-POP2'!B4="",'M-POP4'!B4=""),"N/A",IF(B9=0,0,B8/B9))</f>
        <v>N/A</v>
      </c>
    </row>
  </sheetData>
  <sheetProtection sheet="1" objects="1" scenarios="1"/>
  <conditionalFormatting sqref="B17">
    <cfRule type="expression" dxfId="14" priority="1">
      <formula>$B$17=#REF!</formula>
    </cfRule>
    <cfRule type="expression" dxfId="13" priority="2">
      <formula>$B$17=#REF!</formula>
    </cfRule>
    <cfRule type="expression" dxfId="12" priority="3">
      <formula>$B$17=#REF!</formula>
    </cfRule>
    <cfRule type="expression" dxfId="11" priority="4">
      <formula>#REF!=$B$17</formula>
    </cfRule>
    <cfRule type="expression" dxfId="10" priority="5">
      <formula>$B$17=#REF!</formula>
    </cfRule>
  </conditionalFormatting>
  <dataValidations count="2">
    <dataValidation type="decimal" allowBlank="1" showInputMessage="1" showErrorMessage="1" errorTitle="Chybná hodnota" error="Povolenou hodnotou jsou % v intervalu 0,00 % - 100 %" sqref="B4">
      <formula1>0</formula1>
      <formula2>1</formula2>
    </dataValidation>
    <dataValidation type="decimal" allowBlank="1" showInputMessage="1" showErrorMessage="1" errorTitle="Chybný vstup" error="Vstupní hodnotou je nezáporné číslo. Plocha ohrožených lesů přitom nesmí být větší než celková plocha lesů v indikátoru M-POP5." sqref="B8">
      <formula1>0</formula1>
      <formula2>B9</formula2>
    </dataValidation>
  </dataValidations>
  <pageMargins left="0.7" right="0.7" top="0.78740157499999996" bottom="0.78740157499999996"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1"/>
  <sheetViews>
    <sheetView showGridLines="0" workbookViewId="0">
      <selection activeCell="I32" sqref="I32"/>
    </sheetView>
  </sheetViews>
  <sheetFormatPr defaultRowHeight="15" x14ac:dyDescent="0.25"/>
  <cols>
    <col min="1" max="1" width="84.85546875" style="1" customWidth="1"/>
    <col min="2" max="2" width="18.85546875" customWidth="1"/>
    <col min="3" max="3" width="17.85546875" customWidth="1"/>
    <col min="4" max="4" width="13.28515625" customWidth="1"/>
  </cols>
  <sheetData>
    <row r="1" spans="1:2" ht="54.75" customHeight="1" x14ac:dyDescent="0.25">
      <c r="A1" s="122" t="str">
        <f>CONCATENATE("M-GOV15 – ",VLOOKUP(75,Lang!$A$6:$K$1006,Lang!$M$1+1,FALSE))</f>
        <v xml:space="preserve">M-GOV15 – Podíl energie z OZE (obnovitelná elektřina, teplo a chlad z obnovitelných zdrojů ) ve veřejných budovách ve správě města                                                                                                                                                                        </v>
      </c>
      <c r="B1" s="122"/>
    </row>
    <row r="2" spans="1:2" ht="28.5" customHeight="1" x14ac:dyDescent="0.25">
      <c r="A2" s="88" t="str">
        <f>VLOOKUP(130,Lang!$A$6:$K$1006,Lang!$M$1+1,FALSE)</f>
        <v>Metodický list indikátoru</v>
      </c>
    </row>
    <row r="4" spans="1:2" x14ac:dyDescent="0.25">
      <c r="A4" s="6" t="str">
        <f>VLOOKUP(83,Lang!$A$6:$K$1006,Lang!$M$1+1,FALSE)</f>
        <v>Podíl výroby z OZE</v>
      </c>
      <c r="B4" s="128"/>
    </row>
    <row r="5" spans="1:2" x14ac:dyDescent="0.25">
      <c r="B5" s="136"/>
    </row>
    <row r="6" spans="1:2" x14ac:dyDescent="0.25">
      <c r="B6" s="136"/>
    </row>
    <row r="7" spans="1:2" x14ac:dyDescent="0.25">
      <c r="B7" s="136"/>
    </row>
    <row r="8" spans="1:2" x14ac:dyDescent="0.25">
      <c r="A8" s="135" t="str">
        <f>VLOOKUP(325,Lang!$A$6:$K$1006,Lang!$M$1+1,FALSE)</f>
        <v>Celková výroba energie v rámci administrativního území města</v>
      </c>
      <c r="B8" s="131"/>
    </row>
    <row r="9" spans="1:2" x14ac:dyDescent="0.25">
      <c r="A9" s="135" t="str">
        <f>VLOOKUP(326,Lang!$A$6:$K$1006,Lang!$M$1+1,FALSE)</f>
        <v xml:space="preserve">Výroba energie z OZE v rámci administrativního území města </v>
      </c>
      <c r="B9" s="131"/>
    </row>
    <row r="10" spans="1:2" ht="15.75" thickBot="1" x14ac:dyDescent="0.3"/>
    <row r="11" spans="1:2" ht="15.75" thickBot="1" x14ac:dyDescent="0.3">
      <c r="A11" s="21" t="str">
        <f>IF(B11="N/A",VLOOKUP(146,Lang!$A$6:$K$1006,Lang!$M$1+1,FALSE),VLOOKUP(180,Lang!$A$6:$K$1006,Lang!$M$1+1,FALSE))</f>
        <v>Výpočet nemůže proběhnout</v>
      </c>
      <c r="B11" s="103" t="str">
        <f>IF(B8=0,"N/A",+B9/B8)</f>
        <v>N/A</v>
      </c>
    </row>
  </sheetData>
  <sheetProtection sheet="1" objects="1" scenarios="1"/>
  <mergeCells count="1">
    <mergeCell ref="A1:B1"/>
  </mergeCells>
  <conditionalFormatting sqref="B17">
    <cfRule type="expression" dxfId="9" priority="1">
      <formula>$B$17=#REF!</formula>
    </cfRule>
    <cfRule type="expression" dxfId="8" priority="2">
      <formula>$B$17=#REF!</formula>
    </cfRule>
    <cfRule type="expression" dxfId="7" priority="3">
      <formula>$B$17=#REF!</formula>
    </cfRule>
    <cfRule type="expression" dxfId="6" priority="4">
      <formula>#REF!=$B$17</formula>
    </cfRule>
    <cfRule type="expression" dxfId="5" priority="5">
      <formula>$B$17=#REF!</formula>
    </cfRule>
  </conditionalFormatting>
  <dataValidations count="1">
    <dataValidation type="decimal" allowBlank="1" showInputMessage="1" showErrorMessage="1" errorTitle="Chybná hodnota" error="Povolenou hodnotou je procento v intervalu 0%;100%" sqref="B4">
      <formula1>0</formula1>
      <formula2>1</formula2>
    </dataValidation>
  </dataValidation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8"/>
  <sheetViews>
    <sheetView showGridLines="0" workbookViewId="0">
      <selection activeCell="B4" sqref="B4"/>
    </sheetView>
  </sheetViews>
  <sheetFormatPr defaultRowHeight="15" x14ac:dyDescent="0.25"/>
  <cols>
    <col min="1" max="1" width="92.140625" style="1" bestFit="1" customWidth="1"/>
    <col min="2" max="2" width="18.85546875" customWidth="1"/>
    <col min="3" max="3" width="17.85546875" customWidth="1"/>
    <col min="4" max="4" width="34.42578125" customWidth="1"/>
    <col min="5" max="5" width="9.140625" customWidth="1"/>
    <col min="6" max="6" width="18.5703125" hidden="1" customWidth="1"/>
  </cols>
  <sheetData>
    <row r="1" spans="1:2" ht="21" x14ac:dyDescent="0.35">
      <c r="A1" s="43" t="str">
        <f>CONCATENATE("M-POP3 – ",VLOOKUP(9,Lang!$A$6:$K$1006,Lang!$M$1+1,FALSE))</f>
        <v xml:space="preserve">M-POP3 – Hustota obyvatel </v>
      </c>
    </row>
    <row r="2" spans="1:2" ht="28.5" customHeight="1" x14ac:dyDescent="0.25">
      <c r="A2" s="88" t="str">
        <f>VLOOKUP(130,Lang!$A$6:$K$1006,Lang!$M$1+1,FALSE)</f>
        <v>Metodický list indikátoru</v>
      </c>
    </row>
    <row r="4" spans="1:2" x14ac:dyDescent="0.25">
      <c r="A4" s="23" t="str">
        <f>VLOOKUP(81,Lang!$A$6:$K$1006,Lang!$M$1+1,FALSE)</f>
        <v>Zadejte hustotu obyvatel (obyv/ha)</v>
      </c>
      <c r="B4" s="125">
        <v>1</v>
      </c>
    </row>
    <row r="5" spans="1:2" x14ac:dyDescent="0.25">
      <c r="A5" s="12"/>
      <c r="B5" s="10"/>
    </row>
    <row r="6" spans="1:2" x14ac:dyDescent="0.25">
      <c r="A6" s="44" t="str">
        <f>VLOOKUP(82,Lang!$A$6:$K$1006,Lang!$M$1+1,FALSE)</f>
        <v>Informativní výpočet hustoty na základě zadaných údajů</v>
      </c>
    </row>
    <row r="7" spans="1:2" x14ac:dyDescent="0.25">
      <c r="A7" s="68" t="str">
        <f>IF(AND(Souhrn!C6&lt;&gt;VLOOKUP(2,Lang!$A$6:$K$1006,Lang!$M$1+1,FALSE),Souhrn!C7&lt;&gt;VLOOKUP(2,Lang!$A$6:$K$1006,Lang!$M$1+1,FALSE)),VLOOKUP(85,Lang!$A$6:$K$1006,Lang!$M$1+1,FALSE),VLOOKUP(86,Lang!$A$6:$K$1006,Lang!$M$1+1,FALSE))</f>
        <v>Zadejte prosím hodnotu indikátoru B-POP1 a B-POP2</v>
      </c>
      <c r="B7" s="45" t="str">
        <f>IF(AND(Souhrn!C6&lt;&gt;VLOOKUP(2,Lang!$A$6:$K$1006,Lang!$M$1+1,FALSE),Souhrn!C7&lt;&gt;VLOOKUP(2,Lang!$A$6:$K$1006,Lang!$M$1+1,FALSE)),'M-POP1'!B4/'M-POP2'!B4,"N/A")</f>
        <v>N/A</v>
      </c>
    </row>
    <row r="8" spans="1:2" x14ac:dyDescent="0.25">
      <c r="A8" s="1" t="str">
        <f>IF(AND(Souhrn!C6&lt;&gt;VLOOKUP(2,Lang!$A$6:$K$1006,Lang!$M$1+1,FALSE),Souhrn!C7&lt;&gt;VLOOKUP(2,Lang!$A$6:$K$1006,Lang!$M$1+1,FALSE)),VLOOKUP(87,Lang!$A$6:$K$1006,Lang!$M$1+1,FALSE),"")</f>
        <v/>
      </c>
    </row>
  </sheetData>
  <sheetProtection sheet="1" objects="1" scenarios="1"/>
  <dataValidations count="1">
    <dataValidation type="decimal" allowBlank="1" showInputMessage="1" showErrorMessage="1" errorTitle="Chybný vstup" error="Povolenou hodnotou je kladné desetinné číslo v intervalu 0,00001 - 100 000." sqref="B4:B5">
      <formula1>0.00001</formula1>
      <formula2>100000</formula2>
    </dataValidation>
  </dataValidations>
  <hyperlinks>
    <hyperlink ref="A2" r:id="rId1" tooltip="stáhnout metodický list indikátoru" display="https://www.klimasken.cz/cs/download/metodicky_list-POP3.pdf"/>
  </hyperlinks>
  <pageMargins left="0.7" right="0.7" top="0.78740157499999996" bottom="0.78740157499999996" header="0.3" footer="0.3"/>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1"/>
  <sheetViews>
    <sheetView showGridLines="0" workbookViewId="0">
      <selection activeCell="D29" sqref="D29"/>
    </sheetView>
  </sheetViews>
  <sheetFormatPr defaultRowHeight="15" x14ac:dyDescent="0.25"/>
  <cols>
    <col min="1" max="1" width="92.42578125" style="1" customWidth="1"/>
    <col min="2" max="2" width="18.85546875" customWidth="1"/>
    <col min="3" max="3" width="17.85546875" customWidth="1"/>
    <col min="4" max="4" width="13.28515625" customWidth="1"/>
  </cols>
  <sheetData>
    <row r="1" spans="1:2" ht="65.099999999999994" customHeight="1" x14ac:dyDescent="0.25">
      <c r="A1" s="122" t="str">
        <f>CONCATENATE("M-GOV16 – ",VLOOKUP(76,Lang!$A$6:$K$1006,Lang!$M$1+1,FALSE))</f>
        <v xml:space="preserve">M-GOV16 – Výroba energie z obnovitelných zdrojů v rámci administrativního území obce                                                    </v>
      </c>
      <c r="B1" s="122"/>
    </row>
    <row r="2" spans="1:2" ht="28.5" customHeight="1" x14ac:dyDescent="0.25">
      <c r="A2" s="88" t="str">
        <f>VLOOKUP(130,Lang!$A$6:$K$1006,Lang!$M$1+1,FALSE)</f>
        <v>Metodický list indikátoru</v>
      </c>
    </row>
    <row r="4" spans="1:2" x14ac:dyDescent="0.25">
      <c r="A4" s="6" t="str">
        <f>VLOOKUP(83,Lang!$A$6:$K$1006,Lang!$M$1+1,FALSE)</f>
        <v>Podíl výroby z OZE</v>
      </c>
      <c r="B4" s="128"/>
    </row>
    <row r="8" spans="1:2" x14ac:dyDescent="0.25">
      <c r="A8" s="135" t="str">
        <f>VLOOKUP(323,Lang!$A$6:$K$1006,Lang!$M$1+1,FALSE)</f>
        <v>Celková spotřeba energie v městských budovách</v>
      </c>
      <c r="B8" s="131"/>
    </row>
    <row r="9" spans="1:2" x14ac:dyDescent="0.25">
      <c r="A9" s="135" t="str">
        <f>VLOOKUP(324,Lang!$A$6:$K$1006,Lang!$M$1+1,FALSE)</f>
        <v>Spotřeba energie vyrobené z OZE</v>
      </c>
      <c r="B9" s="131"/>
    </row>
    <row r="10" spans="1:2" ht="15.75" thickBot="1" x14ac:dyDescent="0.3"/>
    <row r="11" spans="1:2" ht="15.75" thickBot="1" x14ac:dyDescent="0.3">
      <c r="A11" s="21" t="str">
        <f>IF(B11="N/A",VLOOKUP(146,Lang!$A$6:$K$1006,Lang!$M$1+1,FALSE),VLOOKUP(180,Lang!$A$6:$K$1006,Lang!$M$1+1,FALSE))</f>
        <v>Výpočet nemůže proběhnout</v>
      </c>
      <c r="B11" s="103" t="str">
        <f>IF(B8=0,"N/A",+B9/B8)</f>
        <v>N/A</v>
      </c>
    </row>
  </sheetData>
  <sheetProtection sheet="1" objects="1" scenarios="1"/>
  <mergeCells count="1">
    <mergeCell ref="A1:B1"/>
  </mergeCells>
  <conditionalFormatting sqref="B17">
    <cfRule type="expression" dxfId="4" priority="1">
      <formula>$B$17=#REF!</formula>
    </cfRule>
    <cfRule type="expression" dxfId="3" priority="2">
      <formula>$B$17=#REF!</formula>
    </cfRule>
    <cfRule type="expression" dxfId="2" priority="3">
      <formula>$B$17=#REF!</formula>
    </cfRule>
    <cfRule type="expression" dxfId="1" priority="4">
      <formula>#REF!=$B$17</formula>
    </cfRule>
    <cfRule type="expression" dxfId="0" priority="5">
      <formula>$B$17=#REF!</formula>
    </cfRule>
  </conditionalFormatting>
  <dataValidations count="1">
    <dataValidation type="decimal" allowBlank="1" showInputMessage="1" showErrorMessage="1" errorTitle="Chybná hodnota" error="Povolenou hodnotou je procento v intervalu 0%;100%" sqref="B4">
      <formula1>0</formula1>
      <formula2>1</formula2>
    </dataValidation>
  </dataValidation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showGridLines="0" workbookViewId="0">
      <selection activeCell="B4" sqref="B4"/>
    </sheetView>
  </sheetViews>
  <sheetFormatPr defaultRowHeight="15" x14ac:dyDescent="0.25"/>
  <cols>
    <col min="1" max="1" width="83.7109375" style="1" customWidth="1"/>
    <col min="2" max="2" width="38" bestFit="1" customWidth="1"/>
    <col min="3" max="3" width="29.85546875" bestFit="1" customWidth="1"/>
    <col min="4" max="4" width="13.28515625" customWidth="1"/>
    <col min="5" max="7" width="9.140625" customWidth="1"/>
    <col min="8" max="8" width="18.5703125" hidden="1" customWidth="1"/>
  </cols>
  <sheetData>
    <row r="1" spans="1:3" ht="21" x14ac:dyDescent="0.25">
      <c r="A1" s="122" t="str">
        <f>CONCATENATE("M-POP4 – ",VLOOKUP(10,Lang!$A$6:$K$1006,Lang!$M$1+1,FALSE))</f>
        <v xml:space="preserve">M-POP4 – Zemědělská půda </v>
      </c>
      <c r="B1" s="122"/>
    </row>
    <row r="2" spans="1:3" ht="28.5" customHeight="1" x14ac:dyDescent="0.25">
      <c r="A2" s="88" t="str">
        <f>VLOOKUP(130,Lang!$A$6:$K$1006,Lang!$M$1+1,FALSE)</f>
        <v>Metodický list indikátoru</v>
      </c>
    </row>
    <row r="4" spans="1:3" x14ac:dyDescent="0.25">
      <c r="A4" s="6" t="str">
        <f>VLOOKUP(89,Lang!$A$6:$K$1006,Lang!$M$1+1,FALSE)</f>
        <v>Podíl zemědělské půdy</v>
      </c>
      <c r="B4" s="128"/>
    </row>
    <row r="6" spans="1:3" x14ac:dyDescent="0.25">
      <c r="A6" s="13" t="str">
        <f>VLOOKUP(400,Lang!$A$6:$K$1006,Lang!$M$1+1,FALSE)</f>
        <v>Pomůcka - pomocný výpočet</v>
      </c>
    </row>
    <row r="7" spans="1:3" x14ac:dyDescent="0.25">
      <c r="A7" s="46" t="str">
        <f>VLOOKUP(88,Lang!$A$6:$K$1006,Lang!$M$1+1,FALSE)</f>
        <v>Do žlutého pole zadejte plochu zemědělské půdy v ha, podíl v % se dopočte</v>
      </c>
    </row>
    <row r="8" spans="1:3" x14ac:dyDescent="0.25">
      <c r="A8" s="1" t="str">
        <f>VLOOKUP(90,Lang!$A$6:$K$1006,Lang!$M$1+1,FALSE)</f>
        <v>Plocha zemědělské půdy v ha</v>
      </c>
      <c r="B8" s="127"/>
    </row>
    <row r="9" spans="1:3" ht="15.75" thickBot="1" x14ac:dyDescent="0.3">
      <c r="A9" s="2" t="str">
        <f>IF('M-POP2'!B4="",VLOOKUP(91,Lang!$A$6:$K$1006,Lang!$M$1+1,FALSE),VLOOKUP(92,Lang!$A$6:$K$1006,Lang!$M$1+1,FALSE))</f>
        <v>Zadejte nejprve hodnotu M-POP2</v>
      </c>
      <c r="B9" t="str">
        <f>IF('M-POP2'!B4="","N/A",'M-POP2'!B4)</f>
        <v>N/A</v>
      </c>
    </row>
    <row r="10" spans="1:3" ht="15.75" thickBot="1" x14ac:dyDescent="0.3">
      <c r="A10" s="30" t="str">
        <f>IF('M-POP2'!B4="",VLOOKUP(93,Lang!$A$6:$K$1006,Lang!$M$1+1,FALSE),VLOOKUP(94,Lang!$A$6:$K$1006,Lang!$M$1+1,FALSE))</f>
        <v>Výpočet nemůže proběhnout</v>
      </c>
      <c r="B10" s="16" t="str">
        <f>IF('M-POP2'!B4="","N/A",+B8/B9)</f>
        <v>N/A</v>
      </c>
    </row>
    <row r="12" spans="1:3" x14ac:dyDescent="0.25">
      <c r="A12" s="121" t="str">
        <f>VLOOKUP(95,Lang!$A$6:$K$1006,Lang!$M$1+1,FALSE)</f>
        <v>V tabulce níže můžete průběžně kontrolovat, zda zadané rozlohy jednotlivých typů území nepřekračují celkovou rozlohu města</v>
      </c>
      <c r="B12" s="121"/>
      <c r="C12" s="121"/>
    </row>
    <row r="14" spans="1:3" x14ac:dyDescent="0.25">
      <c r="A14" s="8" t="str">
        <f>VLOOKUP(96,Lang!$A$6:$K$1006,Lang!$M$1+1,FALSE)</f>
        <v>Průběžná kontrola skladby území:</v>
      </c>
      <c r="B14" s="9" t="str">
        <f>VLOOKUP(97,Lang!$A$6:$K$1006,Lang!$M$1+1,FALSE)</f>
        <v>Pomocné výpočty</v>
      </c>
      <c r="C14" s="9" t="str">
        <f>VLOOKUP(98,Lang!$A$6:$K$1006,Lang!$M$1+1,FALSE)</f>
        <v>Zadaná hodnota</v>
      </c>
    </row>
    <row r="15" spans="1:3" x14ac:dyDescent="0.25">
      <c r="A15" s="91" t="str">
        <f>IF('M-POP2'!B4="",VLOOKUP(99,Lang!$A$6:$K$1006,Lang!$M$1+1,FALSE),VLOOKUP(100,Lang!$A$6:$K$1006,Lang!$M$1+1,FALSE))</f>
        <v>Není zadána rozloha města</v>
      </c>
      <c r="B15" s="3" t="str">
        <f>IF('M-POP2'!B4="","N/A",B9)</f>
        <v>N/A</v>
      </c>
      <c r="C15" s="7" t="s">
        <v>0</v>
      </c>
    </row>
    <row r="16" spans="1:3" x14ac:dyDescent="0.25">
      <c r="A16" s="91" t="str">
        <f>VLOOKUP(101,Lang!$A$6:$K$1006,Lang!$M$1+1,FALSE)</f>
        <v>Zemědělská půda (M-POP4)</v>
      </c>
      <c r="B16" s="4">
        <f>+'M-POP4'!B8</f>
        <v>0</v>
      </c>
      <c r="C16" s="4">
        <f>+'M-POP4'!B4</f>
        <v>0</v>
      </c>
    </row>
    <row r="17" spans="1:3" x14ac:dyDescent="0.25">
      <c r="A17" s="91" t="str">
        <f>VLOOKUP(102,Lang!$A$6:$K$1006,Lang!$M$1+1,FALSE)</f>
        <v>Lesní půda (M-POP5)</v>
      </c>
      <c r="B17" s="4">
        <f>+'M-POP5'!B8</f>
        <v>0</v>
      </c>
      <c r="C17" s="4">
        <f>+'M-POP5'!B4</f>
        <v>0</v>
      </c>
    </row>
    <row r="18" spans="1:3" x14ac:dyDescent="0.25">
      <c r="A18" s="91" t="str">
        <f>VLOOKUP(103,Lang!$A$6:$K$1006,Lang!$M$1+1,FALSE)</f>
        <v>Vodní plochy (M-POP6)</v>
      </c>
      <c r="B18" s="4">
        <f>+'M-POP6'!B8</f>
        <v>0</v>
      </c>
      <c r="C18" s="4">
        <f>+'M-POP6'!B4</f>
        <v>0</v>
      </c>
    </row>
    <row r="19" spans="1:3" x14ac:dyDescent="0.25">
      <c r="A19" s="91" t="str">
        <f>VLOOKUP(104,Lang!$A$6:$K$1006,Lang!$M$1+1,FALSE)</f>
        <v>Zastavěné území (M-POP7)</v>
      </c>
      <c r="B19" s="4">
        <f>+'M-POP7'!B8</f>
        <v>0</v>
      </c>
      <c r="C19" s="4">
        <f>+'M-POP7'!B4</f>
        <v>0</v>
      </c>
    </row>
    <row r="20" spans="1:3" x14ac:dyDescent="0.25">
      <c r="A20" s="91" t="str">
        <f>VLOOKUP(105,Lang!$A$6:$K$1006,Lang!$M$1+1,FALSE)</f>
        <v>Ostatní plochy (M-POP8)</v>
      </c>
      <c r="B20" s="4">
        <f>+'M-POP8'!B8</f>
        <v>0</v>
      </c>
      <c r="C20" s="4">
        <f>+'M-POP8'!B4</f>
        <v>0</v>
      </c>
    </row>
    <row r="21" spans="1:3" x14ac:dyDescent="0.25">
      <c r="A21" s="6" t="str">
        <f>VLOOKUP(106,Lang!$A$6:$K$1006,Lang!$M$1+1,FALSE)</f>
        <v>Celkem zadáno z rozlohy</v>
      </c>
      <c r="B21" s="17">
        <f>SUM(B16:B20)</f>
        <v>0</v>
      </c>
      <c r="C21" s="17">
        <f>SUM(C16:C20)</f>
        <v>0</v>
      </c>
    </row>
  </sheetData>
  <sheetProtection sheet="1" objects="1" scenarios="1"/>
  <mergeCells count="2">
    <mergeCell ref="A12:C12"/>
    <mergeCell ref="A1:B1"/>
  </mergeCells>
  <conditionalFormatting sqref="B21">
    <cfRule type="expression" dxfId="90" priority="3">
      <formula>$B$21&gt;$B$15</formula>
    </cfRule>
    <cfRule type="expression" dxfId="89" priority="4">
      <formula>$B$21&lt;=$B$15</formula>
    </cfRule>
  </conditionalFormatting>
  <conditionalFormatting sqref="C21">
    <cfRule type="expression" dxfId="88" priority="1">
      <formula>$C$21&lt;=1</formula>
    </cfRule>
    <cfRule type="expression" dxfId="87" priority="2">
      <formula>$C$21&gt;1</formula>
    </cfRule>
  </conditionalFormatting>
  <dataValidations count="2">
    <dataValidation type="decimal" allowBlank="1" showInputMessage="1" showErrorMessage="1" errorTitle="Chybný vstup" error="min: 0,0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https://www.klimasken.cz/cs/download/metodicky_list-POP5.pdf"/>
    <hyperlink ref="A16" location="'M-POP4'!A1" display="'M-POP4'!A1"/>
    <hyperlink ref="A17" location="'M-POP5'!A1" display="'M-POP5'!A1"/>
    <hyperlink ref="A18" location="'M-POP6'!A1" display="'M-POP6'!A1"/>
    <hyperlink ref="A19" location="'M-POP7'!A1" display="'M-POP7'!A1"/>
    <hyperlink ref="A20" location="'M-POP8'!A1" display="'M-POP8'!A1"/>
    <hyperlink ref="A15" location="'M-POP2'!B4" display="'M-POP2'!B4"/>
  </hyperlinks>
  <pageMargins left="0.7" right="0.7" top="0.78740157499999996" bottom="0.78740157499999996"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1"/>
  <sheetViews>
    <sheetView showGridLines="0" workbookViewId="0">
      <selection activeCell="B4" sqref="B4"/>
    </sheetView>
  </sheetViews>
  <sheetFormatPr defaultRowHeight="15" x14ac:dyDescent="0.25"/>
  <cols>
    <col min="1" max="1" width="104.85546875" style="1" customWidth="1"/>
    <col min="2" max="2" width="38" bestFit="1" customWidth="1"/>
    <col min="3" max="3" width="29.85546875" bestFit="1" customWidth="1"/>
    <col min="4" max="4" width="13.28515625" customWidth="1"/>
    <col min="5" max="6" width="9.140625" customWidth="1"/>
    <col min="7" max="7" width="18.5703125" hidden="1" customWidth="1"/>
  </cols>
  <sheetData>
    <row r="1" spans="1:5" ht="21" x14ac:dyDescent="0.25">
      <c r="A1" s="122" t="str">
        <f>CONCATENATE("M-POP5 – ",VLOOKUP(11,Lang!$A$6:$K$1006,Lang!$M$1+1,FALSE))</f>
        <v xml:space="preserve">M-POP5 – Lesní půda </v>
      </c>
      <c r="B1" s="122"/>
    </row>
    <row r="2" spans="1:5" ht="28.5" customHeight="1" x14ac:dyDescent="0.25">
      <c r="A2" s="88" t="str">
        <f>VLOOKUP(130,Lang!$A$6:$K$1006,Lang!$M$1+1,FALSE)</f>
        <v>Metodický list indikátoru</v>
      </c>
    </row>
    <row r="4" spans="1:5" x14ac:dyDescent="0.25">
      <c r="A4" s="6" t="str">
        <f>VLOOKUP(107,Lang!$A$6:$K$1006,Lang!$M$1+1,FALSE)</f>
        <v>Podíl lesní půdy</v>
      </c>
      <c r="B4" s="128"/>
    </row>
    <row r="6" spans="1:5" x14ac:dyDescent="0.25">
      <c r="A6" s="13" t="str">
        <f>VLOOKUP(400,Lang!$A$6:$K$1006,Lang!$M$1+1,FALSE)</f>
        <v>Pomůcka - pomocný výpočet</v>
      </c>
    </row>
    <row r="7" spans="1:5" x14ac:dyDescent="0.25">
      <c r="A7" s="46" t="str">
        <f>VLOOKUP(108,Lang!$A$6:$K$1006,Lang!$M$1+1,FALSE)</f>
        <v>Do žlutého pole zadejte plochu lesní půdy v ha, podíl v % se dopočte</v>
      </c>
      <c r="E7" s="2"/>
    </row>
    <row r="8" spans="1:5" x14ac:dyDescent="0.25">
      <c r="A8" s="1" t="str">
        <f>VLOOKUP(109,Lang!$A$6:$K$1006,Lang!$M$1+1,FALSE)</f>
        <v>Plocha lesní půdy v ha</v>
      </c>
      <c r="B8" s="127"/>
    </row>
    <row r="9" spans="1:5" ht="17.25" customHeight="1" thickBot="1" x14ac:dyDescent="0.3">
      <c r="A9" s="95" t="str">
        <f>IF('M-POP2'!B4="",VLOOKUP(91,Lang!$A$6:$K$1006,Lang!$M$1+1,FALSE),VLOOKUP(92,Lang!$A$6:$K$1006,Lang!$M$1+1,FALSE))</f>
        <v>Zadejte nejprve hodnotu M-POP2</v>
      </c>
      <c r="B9" t="str">
        <f>IF('M-POP2'!B4="","N/A",'M-POP2'!B4)</f>
        <v>N/A</v>
      </c>
    </row>
    <row r="10" spans="1:5" ht="15" customHeight="1" thickBot="1" x14ac:dyDescent="0.3">
      <c r="A10" s="30" t="str">
        <f>IF('M-POP2'!B4="",VLOOKUP(93,Lang!$A$6:$K$1006,Lang!$M$1+1,FALSE),VLOOKUP(94,Lang!$A$6:$K$1006,Lang!$M$1+1,FALSE))</f>
        <v>Výpočet nemůže proběhnout</v>
      </c>
      <c r="B10" s="16" t="str">
        <f>IF('M-POP2'!B4="","N/A",+B8/B9)</f>
        <v>N/A</v>
      </c>
    </row>
    <row r="12" spans="1:5" x14ac:dyDescent="0.25">
      <c r="A12" s="123" t="str">
        <f>VLOOKUP(95,Lang!$A$6:$K$1006,Lang!$M$1+1,FALSE)</f>
        <v>V tabulce níže můžete průběžně kontrolovat, zda zadané rozlohy jednotlivých typů území nepřekračují celkovou rozlohu města</v>
      </c>
      <c r="B12" s="123"/>
      <c r="C12" s="123"/>
    </row>
    <row r="14" spans="1:5" x14ac:dyDescent="0.25">
      <c r="A14" s="8" t="str">
        <f>VLOOKUP(96,Lang!$A$6:$K$1006,Lang!$M$1+1,FALSE)</f>
        <v>Průběžná kontrola skladby území:</v>
      </c>
      <c r="B14" s="9" t="str">
        <f>VLOOKUP(97,Lang!$A$6:$K$1006,Lang!$M$1+1,FALSE)</f>
        <v>Pomocné výpočty</v>
      </c>
      <c r="C14" s="9" t="str">
        <f>VLOOKUP(98,Lang!$A$6:$K$1006,Lang!$M$1+1,FALSE)</f>
        <v>Zadaná hodnota</v>
      </c>
    </row>
    <row r="15" spans="1:5" x14ac:dyDescent="0.25">
      <c r="A15" s="91" t="str">
        <f>IF('M-POP2'!B4="",VLOOKUP(99,Lang!$A$6:$K$1006,Lang!$M$1+1,FALSE),VLOOKUP(100,Lang!$A$6:$K$1006,Lang!$M$1+1,FALSE))</f>
        <v>Není zadána rozloha města</v>
      </c>
      <c r="B15" s="3" t="str">
        <f>IF('M-POP2'!B4="","N/A",B9)</f>
        <v>N/A</v>
      </c>
      <c r="C15" s="7" t="s">
        <v>0</v>
      </c>
    </row>
    <row r="16" spans="1:5" x14ac:dyDescent="0.25">
      <c r="A16" s="91" t="str">
        <f>VLOOKUP(101,Lang!$A$6:$K$1006,Lang!$M$1+1,FALSE)</f>
        <v>Zemědělská půda (M-POP4)</v>
      </c>
      <c r="B16" s="4">
        <f>+'M-POP4'!B8</f>
        <v>0</v>
      </c>
      <c r="C16" s="4">
        <f>+'M-POP4'!B4</f>
        <v>0</v>
      </c>
    </row>
    <row r="17" spans="1:3" x14ac:dyDescent="0.25">
      <c r="A17" s="91" t="str">
        <f>VLOOKUP(102,Lang!$A$6:$K$1006,Lang!$M$1+1,FALSE)</f>
        <v>Lesní půda (M-POP5)</v>
      </c>
      <c r="B17" s="4">
        <f>+'M-POP5'!B8</f>
        <v>0</v>
      </c>
      <c r="C17" s="4">
        <f>+'M-POP5'!B4</f>
        <v>0</v>
      </c>
    </row>
    <row r="18" spans="1:3" x14ac:dyDescent="0.25">
      <c r="A18" s="91" t="str">
        <f>VLOOKUP(103,Lang!$A$6:$K$1006,Lang!$M$1+1,FALSE)</f>
        <v>Vodní plochy (M-POP6)</v>
      </c>
      <c r="B18" s="4">
        <f>+'M-POP6'!B8</f>
        <v>0</v>
      </c>
      <c r="C18" s="4">
        <f>+'M-POP6'!B4</f>
        <v>0</v>
      </c>
    </row>
    <row r="19" spans="1:3" x14ac:dyDescent="0.25">
      <c r="A19" s="91" t="str">
        <f>VLOOKUP(104,Lang!$A$6:$K$1006,Lang!$M$1+1,FALSE)</f>
        <v>Zastavěné území (M-POP7)</v>
      </c>
      <c r="B19" s="4">
        <f>+'M-POP7'!B8</f>
        <v>0</v>
      </c>
      <c r="C19" s="4">
        <f>+'M-POP7'!B4</f>
        <v>0</v>
      </c>
    </row>
    <row r="20" spans="1:3" x14ac:dyDescent="0.25">
      <c r="A20" s="91" t="str">
        <f>VLOOKUP(105,Lang!$A$6:$K$1006,Lang!$M$1+1,FALSE)</f>
        <v>Ostatní plochy (M-POP8)</v>
      </c>
      <c r="B20" s="4">
        <f>+'M-POP8'!B8</f>
        <v>0</v>
      </c>
      <c r="C20" s="4">
        <f>+'M-POP8'!B4</f>
        <v>0</v>
      </c>
    </row>
    <row r="21" spans="1:3" x14ac:dyDescent="0.25">
      <c r="A21" s="6" t="str">
        <f>VLOOKUP(106,Lang!$A$6:$K$1006,Lang!$M$1+1,FALSE)</f>
        <v>Celkem zadáno z rozlohy</v>
      </c>
      <c r="B21" s="17">
        <f>SUM(B16:B20)</f>
        <v>0</v>
      </c>
      <c r="C21" s="17">
        <f>SUM(C16:C20)</f>
        <v>0</v>
      </c>
    </row>
  </sheetData>
  <sheetProtection sheet="1" objects="1" scenarios="1"/>
  <mergeCells count="2">
    <mergeCell ref="A12:C12"/>
    <mergeCell ref="A1:B1"/>
  </mergeCells>
  <conditionalFormatting sqref="B21">
    <cfRule type="expression" dxfId="86" priority="3">
      <formula>$B$21&gt;$B$15</formula>
    </cfRule>
    <cfRule type="expression" dxfId="85" priority="4">
      <formula>$B$21&lt;=$B$15</formula>
    </cfRule>
  </conditionalFormatting>
  <conditionalFormatting sqref="C21">
    <cfRule type="expression" dxfId="84" priority="1">
      <formula>$C$21&lt;=1</formula>
    </cfRule>
    <cfRule type="expression" dxfId="83" priority="2">
      <formula>$C$21&gt;1</formula>
    </cfRule>
  </conditionalFormatting>
  <dataValidations count="2">
    <dataValidation type="decimal" allowBlank="1" showInputMessage="1" showErrorMessage="1" errorTitle="Chybný vstup" error="min: 0,0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https://www.klimasken.cz/cs/download/metodicky_list-POP4.pdf"/>
    <hyperlink ref="A16" location="'M-POP4'!A1" display="'M-POP4'!A1"/>
    <hyperlink ref="A17" location="'M-POP5'!A1" display="'M-POP5'!A1"/>
    <hyperlink ref="A18" location="'M-POP6'!A1" display="'M-POP6'!A1"/>
    <hyperlink ref="A19" location="'M-POP7'!A1" display="'M-POP7'!A1"/>
    <hyperlink ref="A20" location="'M-POP8'!A1" display="'M-POP8'!A1"/>
    <hyperlink ref="A15" location="'M-POP2'!B4" display="'M-POP2'!B4"/>
    <hyperlink ref="A9" location="'M-POP2'!B4" display="'M-POP2'!B4"/>
  </hyperlinks>
  <pageMargins left="0.7" right="0.7" top="0.78740157499999996" bottom="0.78740157499999996"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1"/>
  <sheetViews>
    <sheetView showGridLines="0" workbookViewId="0">
      <selection activeCell="B31" sqref="B31"/>
    </sheetView>
  </sheetViews>
  <sheetFormatPr defaultRowHeight="15" x14ac:dyDescent="0.25"/>
  <cols>
    <col min="1" max="1" width="104.7109375" style="1" customWidth="1"/>
    <col min="2" max="2" width="38" bestFit="1" customWidth="1"/>
    <col min="3" max="3" width="29.85546875" bestFit="1" customWidth="1"/>
    <col min="4" max="4" width="13.28515625" customWidth="1"/>
    <col min="5" max="6" width="9.140625" customWidth="1"/>
    <col min="7" max="7" width="18.5703125" hidden="1" customWidth="1"/>
  </cols>
  <sheetData>
    <row r="1" spans="1:3" ht="21" x14ac:dyDescent="0.25">
      <c r="A1" s="122" t="str">
        <f>CONCATENATE("M-POP6 – ",VLOOKUP(12,Lang!$A$6:$K$1006,Lang!$M$1+1,FALSE))</f>
        <v xml:space="preserve">M-POP6 – Vodní plocha </v>
      </c>
      <c r="B1" s="122"/>
    </row>
    <row r="2" spans="1:3" ht="28.5" customHeight="1" x14ac:dyDescent="0.25">
      <c r="A2" s="88" t="str">
        <f>VLOOKUP(130,Lang!$A$6:$K$1006,Lang!$M$1+1,FALSE)</f>
        <v>Metodický list indikátoru</v>
      </c>
      <c r="C2" s="2"/>
    </row>
    <row r="4" spans="1:3" x14ac:dyDescent="0.25">
      <c r="A4" s="6" t="str">
        <f>VLOOKUP(112,Lang!$A$6:$K$1006,Lang!$M$1+1,FALSE)</f>
        <v>Podíl vodní plochy</v>
      </c>
      <c r="B4" s="129"/>
    </row>
    <row r="6" spans="1:3" x14ac:dyDescent="0.25">
      <c r="A6" s="13" t="str">
        <f>VLOOKUP(400,Lang!$A$6:$K$1006,Lang!$M$1+1,FALSE)</f>
        <v>Pomůcka - pomocný výpočet</v>
      </c>
    </row>
    <row r="7" spans="1:3" x14ac:dyDescent="0.25">
      <c r="A7" s="46" t="str">
        <f>VLOOKUP(110,Lang!$A$6:$K$1006,Lang!$M$1+1,FALSE)</f>
        <v>Do žlutého pole zadejte výměru vodních ploch, podíl v % se dopočte</v>
      </c>
    </row>
    <row r="8" spans="1:3" x14ac:dyDescent="0.25">
      <c r="A8" s="1" t="str">
        <f>VLOOKUP(111,Lang!$A$6:$K$1006,Lang!$M$1+1,FALSE)</f>
        <v>Výměra vodních ploch v ha</v>
      </c>
      <c r="B8" s="127"/>
    </row>
    <row r="9" spans="1:3" ht="15" customHeight="1" thickBot="1" x14ac:dyDescent="0.3">
      <c r="A9" s="95" t="str">
        <f>IF('M-POP2'!B4="",VLOOKUP(91,Lang!$A$6:$K$1006,Lang!$M$1+1,FALSE),VLOOKUP(92,Lang!$A$6:$K$1006,Lang!$M$1+1,FALSE))</f>
        <v>Zadejte nejprve hodnotu M-POP2</v>
      </c>
      <c r="B9" t="str">
        <f>IF('M-POP2'!B4="","N/A",'M-POP2'!B4)</f>
        <v>N/A</v>
      </c>
    </row>
    <row r="10" spans="1:3" ht="15" customHeight="1" thickBot="1" x14ac:dyDescent="0.3">
      <c r="A10" s="15" t="str">
        <f>IF('M-POP2'!B4="",VLOOKUP(93,Lang!$A$6:$K$1006,Lang!$M$1+1,FALSE),VLOOKUP(94,Lang!$A$6:$K$1006,Lang!$M$1+1,FALSE))</f>
        <v>Výpočet nemůže proběhnout</v>
      </c>
      <c r="B10" s="16" t="str">
        <f>IF('M-POP2'!B4="","N/A",+B8/B9)</f>
        <v>N/A</v>
      </c>
    </row>
    <row r="11" spans="1:3" ht="15" customHeight="1" x14ac:dyDescent="0.25"/>
    <row r="12" spans="1:3" x14ac:dyDescent="0.25">
      <c r="A12" s="123" t="str">
        <f>VLOOKUP(95,Lang!$A$6:$K$1006,Lang!$M$1+1,FALSE)</f>
        <v>V tabulce níže můžete průběžně kontrolovat, zda zadané rozlohy jednotlivých typů území nepřekračují celkovou rozlohu města</v>
      </c>
      <c r="B12" s="123"/>
      <c r="C12" s="123"/>
    </row>
    <row r="14" spans="1:3" x14ac:dyDescent="0.25">
      <c r="A14" s="8" t="str">
        <f>VLOOKUP(96,Lang!$A$6:$K$1006,Lang!$M$1+1,FALSE)</f>
        <v>Průběžná kontrola skladby území:</v>
      </c>
      <c r="B14" s="9" t="str">
        <f>VLOOKUP(97,Lang!$A$6:$K$1006,Lang!$M$1+1,FALSE)</f>
        <v>Pomocné výpočty</v>
      </c>
      <c r="C14" s="9" t="str">
        <f>VLOOKUP(98,Lang!$A$6:$K$1006,Lang!$M$1+1,FALSE)</f>
        <v>Zadaná hodnota</v>
      </c>
    </row>
    <row r="15" spans="1:3" x14ac:dyDescent="0.25">
      <c r="A15" s="91" t="str">
        <f>IF('M-POP2'!B4="",VLOOKUP(99,Lang!$A$6:$K$1006,Lang!$M$1+1,FALSE),VLOOKUP(100,Lang!$A$6:$K$1006,Lang!$M$1+1,FALSE))</f>
        <v>Není zadána rozloha města</v>
      </c>
      <c r="B15" s="3" t="str">
        <f>IF('M-POP2'!B4="","N/A",B9)</f>
        <v>N/A</v>
      </c>
      <c r="C15" s="7" t="s">
        <v>0</v>
      </c>
    </row>
    <row r="16" spans="1:3" x14ac:dyDescent="0.25">
      <c r="A16" s="91" t="str">
        <f>VLOOKUP(101,Lang!$A$6:$K$1006,Lang!$M$1+1,FALSE)</f>
        <v>Zemědělská půda (M-POP4)</v>
      </c>
      <c r="B16" s="4">
        <f>+'M-POP4'!B8</f>
        <v>0</v>
      </c>
      <c r="C16" s="4">
        <f>+'M-POP4'!B4</f>
        <v>0</v>
      </c>
    </row>
    <row r="17" spans="1:3" x14ac:dyDescent="0.25">
      <c r="A17" s="91" t="str">
        <f>VLOOKUP(102,Lang!$A$6:$K$1006,Lang!$M$1+1,FALSE)</f>
        <v>Lesní půda (M-POP5)</v>
      </c>
      <c r="B17" s="4">
        <f>+'M-POP5'!B8</f>
        <v>0</v>
      </c>
      <c r="C17" s="4">
        <f>+'M-POP5'!B4</f>
        <v>0</v>
      </c>
    </row>
    <row r="18" spans="1:3" x14ac:dyDescent="0.25">
      <c r="A18" s="91" t="str">
        <f>VLOOKUP(103,Lang!$A$6:$K$1006,Lang!$M$1+1,FALSE)</f>
        <v>Vodní plochy (M-POP6)</v>
      </c>
      <c r="B18" s="4">
        <f>+'M-POP6'!B8</f>
        <v>0</v>
      </c>
      <c r="C18" s="4">
        <f>+'M-POP6'!B4</f>
        <v>0</v>
      </c>
    </row>
    <row r="19" spans="1:3" x14ac:dyDescent="0.25">
      <c r="A19" s="91" t="str">
        <f>VLOOKUP(104,Lang!$A$6:$K$1006,Lang!$M$1+1,FALSE)</f>
        <v>Zastavěné území (M-POP7)</v>
      </c>
      <c r="B19" s="4">
        <f>+'M-POP7'!B8</f>
        <v>0</v>
      </c>
      <c r="C19" s="4">
        <f>+'M-POP7'!B4</f>
        <v>0</v>
      </c>
    </row>
    <row r="20" spans="1:3" x14ac:dyDescent="0.25">
      <c r="A20" s="91" t="str">
        <f>VLOOKUP(105,Lang!$A$6:$K$1006,Lang!$M$1+1,FALSE)</f>
        <v>Ostatní plochy (M-POP8)</v>
      </c>
      <c r="B20" s="4">
        <f>+'M-POP8'!B8</f>
        <v>0</v>
      </c>
      <c r="C20" s="4">
        <f>+'M-POP8'!B4</f>
        <v>0</v>
      </c>
    </row>
    <row r="21" spans="1:3" x14ac:dyDescent="0.25">
      <c r="A21" s="6" t="str">
        <f>VLOOKUP(106,Lang!$A$6:$K$1006,Lang!$M$1+1,FALSE)</f>
        <v>Celkem zadáno z rozlohy</v>
      </c>
      <c r="B21" s="17">
        <f>SUM(B16:B20)</f>
        <v>0</v>
      </c>
      <c r="C21" s="17">
        <f>SUM(C16:C20)</f>
        <v>0</v>
      </c>
    </row>
  </sheetData>
  <sheetProtection sheet="1" objects="1" scenarios="1"/>
  <mergeCells count="2">
    <mergeCell ref="A12:C12"/>
    <mergeCell ref="A1:B1"/>
  </mergeCells>
  <conditionalFormatting sqref="B21">
    <cfRule type="expression" dxfId="82" priority="3">
      <formula>$B$21&gt;$B$15</formula>
    </cfRule>
    <cfRule type="expression" dxfId="81" priority="4">
      <formula>$B$21&lt;=$B$15</formula>
    </cfRule>
  </conditionalFormatting>
  <conditionalFormatting sqref="C21">
    <cfRule type="expression" dxfId="80" priority="1">
      <formula>$C$21&lt;=1</formula>
    </cfRule>
    <cfRule type="expression" dxfId="79" priority="2">
      <formula>$C$21&gt;1</formula>
    </cfRule>
  </conditionalFormatting>
  <dataValidations count="2">
    <dataValidation type="decimal" allowBlank="1" showInputMessage="1" showErrorMessage="1" errorTitle="Chybný vstup" error="min: 0,00; max: B9" sqref="B8">
      <formula1>0</formula1>
      <formula2>B9</formula2>
    </dataValidation>
    <dataValidation type="decimal" allowBlank="1" showInputMessage="1" showErrorMessage="1" errorTitle="Chybná hodnota" error="Povolenou hodnotou jsou % v intervalu 0,00 % - 100 %" sqref="B4">
      <formula1>0</formula1>
      <formula2>1</formula2>
    </dataValidation>
  </dataValidations>
  <hyperlinks>
    <hyperlink ref="A2" r:id="rId1" tooltip="stáhnout metodický list indikátoru" display="https://www.klimasken.cz/cs/download/metodicky_list-POP6.pdf"/>
    <hyperlink ref="A16" location="'M-POP4'!A1" display="'M-POP4'!A1"/>
    <hyperlink ref="A17" location="'M-POP5'!A1" display="'M-POP5'!A1"/>
    <hyperlink ref="A18" location="'M-POP6'!A1" display="'M-POP6'!A1"/>
    <hyperlink ref="A19" location="'M-POP7'!A1" display="'M-POP7'!A1"/>
    <hyperlink ref="A20" location="'M-POP8'!A1" display="'M-POP8'!A1"/>
    <hyperlink ref="A15" location="'M-POP2'!B4" display="'M-POP2'!B4"/>
    <hyperlink ref="A9" location="'M-POP2'!B4" display="'M-POP2'!B4"/>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60</vt:i4>
      </vt:variant>
      <vt:variant>
        <vt:lpstr>Pojmenované oblasti</vt:lpstr>
      </vt:variant>
      <vt:variant>
        <vt:i4>15</vt:i4>
      </vt:variant>
    </vt:vector>
  </HeadingPairs>
  <TitlesOfParts>
    <vt:vector size="75" baseType="lpstr">
      <vt:lpstr>Souhrn</vt:lpstr>
      <vt:lpstr>Lang</vt:lpstr>
      <vt:lpstr>Identifikace města-MČ</vt:lpstr>
      <vt:lpstr>M-POP1</vt:lpstr>
      <vt:lpstr>M-POP2</vt:lpstr>
      <vt:lpstr>M-POP3</vt:lpstr>
      <vt:lpstr>M-POP4</vt:lpstr>
      <vt:lpstr>M-POP5</vt:lpstr>
      <vt:lpstr>M-POP6</vt:lpstr>
      <vt:lpstr>M-POP7</vt:lpstr>
      <vt:lpstr>M-POP8</vt:lpstr>
      <vt:lpstr>M-POP9</vt:lpstr>
      <vt:lpstr>M-POP10</vt:lpstr>
      <vt:lpstr>M-POP11</vt:lpstr>
      <vt:lpstr>M-POP12</vt:lpstr>
      <vt:lpstr>M-POP13</vt:lpstr>
      <vt:lpstr>M-POP14</vt:lpstr>
      <vt:lpstr>M-EXP1</vt:lpstr>
      <vt:lpstr>M-EXP2</vt:lpstr>
      <vt:lpstr>M-EXP3</vt:lpstr>
      <vt:lpstr>M-EXP4</vt:lpstr>
      <vt:lpstr>M-EXP5</vt:lpstr>
      <vt:lpstr>M-EXP6</vt:lpstr>
      <vt:lpstr>M-EXP7</vt:lpstr>
      <vt:lpstr>M-EXP8</vt:lpstr>
      <vt:lpstr>M-EXP9</vt:lpstr>
      <vt:lpstr>M-EXP10</vt:lpstr>
      <vt:lpstr>M-AD1</vt:lpstr>
      <vt:lpstr>M-AD2</vt:lpstr>
      <vt:lpstr>M-AD3</vt:lpstr>
      <vt:lpstr>M-AD4</vt:lpstr>
      <vt:lpstr>M-AD5</vt:lpstr>
      <vt:lpstr>M-AD6</vt:lpstr>
      <vt:lpstr>M-AD7</vt:lpstr>
      <vt:lpstr>M-AD8</vt:lpstr>
      <vt:lpstr>M-AD9</vt:lpstr>
      <vt:lpstr>M-AD10</vt:lpstr>
      <vt:lpstr>M-AD11</vt:lpstr>
      <vt:lpstr>M-AD12</vt:lpstr>
      <vt:lpstr>M-AD13</vt:lpstr>
      <vt:lpstr>M-AD14</vt:lpstr>
      <vt:lpstr>M-AD15</vt:lpstr>
      <vt:lpstr>M-AD16</vt:lpstr>
      <vt:lpstr>MIT</vt:lpstr>
      <vt:lpstr>M-GOV1</vt:lpstr>
      <vt:lpstr>M-GOV2</vt:lpstr>
      <vt:lpstr>M-GOV3</vt:lpstr>
      <vt:lpstr>M-GOV4</vt:lpstr>
      <vt:lpstr>M-GOV5</vt:lpstr>
      <vt:lpstr>M-GOV6</vt:lpstr>
      <vt:lpstr>M-GOV7</vt:lpstr>
      <vt:lpstr>M-GOV8</vt:lpstr>
      <vt:lpstr>M-GOV9</vt:lpstr>
      <vt:lpstr>M-GOV10</vt:lpstr>
      <vt:lpstr>M-GOV11</vt:lpstr>
      <vt:lpstr>M-GOV12</vt:lpstr>
      <vt:lpstr>M-GOV13</vt:lpstr>
      <vt:lpstr>M-GOV14</vt:lpstr>
      <vt:lpstr>M-GOV15</vt:lpstr>
      <vt:lpstr>M-GOV16</vt:lpstr>
      <vt:lpstr>'M-GOV2'!_ftn1</vt:lpstr>
      <vt:lpstr>'M-GOV2'!_ftn2</vt:lpstr>
      <vt:lpstr>'M-GOV2'!_ftnref1</vt:lpstr>
      <vt:lpstr>'M-GOV2'!_ftnref2</vt:lpstr>
      <vt:lpstr>ANO</vt:lpstr>
      <vt:lpstr>ANONE1</vt:lpstr>
      <vt:lpstr>ANONE2</vt:lpstr>
      <vt:lpstr>ANONE3</vt:lpstr>
      <vt:lpstr>NE</vt:lpstr>
      <vt:lpstr>Priprav_1</vt:lpstr>
      <vt:lpstr>Priprav_2</vt:lpstr>
      <vt:lpstr>Priprav_3</vt:lpstr>
      <vt:lpstr>Zeme_1</vt:lpstr>
      <vt:lpstr>Zeme_2</vt:lpstr>
      <vt:lpstr>Zeme_3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Mirek Lupač</dc:creator>
  <cp:lastModifiedBy>David Kunssberger</cp:lastModifiedBy>
  <dcterms:created xsi:type="dcterms:W3CDTF">2020-10-07T13:41:53Z</dcterms:created>
  <dcterms:modified xsi:type="dcterms:W3CDTF">2022-05-10T14:00:41Z</dcterms:modified>
</cp:coreProperties>
</file>